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0295" windowHeight="11205" activeTab="0"/>
  </bookViews>
  <sheets>
    <sheet name="объем закупок на 2019 год" sheetId="1" r:id="rId1"/>
    <sheet name="09.01" sheetId="2" r:id="rId2"/>
    <sheet name="16.01" sheetId="3" r:id="rId3"/>
    <sheet name="30.01" sheetId="4" r:id="rId4"/>
    <sheet name="11.02" sheetId="5" r:id="rId5"/>
    <sheet name="18.03" sheetId="6" r:id="rId6"/>
    <sheet name="04.04" sheetId="7" r:id="rId7"/>
    <sheet name="22.04" sheetId="8" r:id="rId8"/>
    <sheet name="29.04" sheetId="9" r:id="rId9"/>
    <sheet name="13.05" sheetId="10" r:id="rId10"/>
    <sheet name="21.05" sheetId="11" r:id="rId11"/>
    <sheet name="14.06" sheetId="12" r:id="rId12"/>
    <sheet name="26.06" sheetId="13" r:id="rId13"/>
    <sheet name="03.09" sheetId="14" r:id="rId14"/>
    <sheet name="10.09" sheetId="15" r:id="rId15"/>
    <sheet name="24.09" sheetId="16" r:id="rId16"/>
    <sheet name="14.10" sheetId="17" r:id="rId17"/>
    <sheet name="15.11" sheetId="18" r:id="rId18"/>
    <sheet name="29.11" sheetId="19" r:id="rId19"/>
    <sheet name="06.12" sheetId="20" r:id="rId20"/>
    <sheet name="16.12" sheetId="21" r:id="rId21"/>
    <sheet name="23.12" sheetId="22" r:id="rId22"/>
    <sheet name="титульный" sheetId="23" r:id="rId23"/>
  </sheets>
  <definedNames>
    <definedName name="_xlnm.Print_Area" localSheetId="0">'объем закупок на 2019 год'!$A$1:$I$211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H138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КС-ки от 20.06
предостав 27.06.2019</t>
        </r>
      </text>
    </comment>
    <comment ref="H136" authorId="0">
      <text>
        <r>
          <rPr>
            <b/>
            <sz val="9"/>
            <rFont val="Tahoma"/>
            <family val="2"/>
          </rPr>
          <t xml:space="preserve">buhgalter1:
</t>
        </r>
        <r>
          <rPr>
            <sz val="9"/>
            <rFont val="Tahoma"/>
            <family val="2"/>
          </rPr>
          <t xml:space="preserve"> на 02.08.2019 раб не выполненны написана претензия( обещали сделать до 12.08.2019)</t>
        </r>
      </text>
    </comment>
    <comment ref="H86" authorId="0">
      <text>
        <r>
          <rPr>
            <b/>
            <sz val="9"/>
            <rFont val="Tahoma"/>
            <family val="2"/>
          </rPr>
          <t>buhgalter1:</t>
        </r>
        <r>
          <rPr>
            <sz val="9"/>
            <rFont val="Tahoma"/>
            <family val="2"/>
          </rPr>
          <t xml:space="preserve">
отнесен в КФ 09.09.19
</t>
        </r>
      </text>
    </comment>
    <comment ref="H67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в КФ 23.10.</t>
        </r>
      </text>
    </comment>
    <comment ref="H42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в КФ 23.10.</t>
        </r>
      </text>
    </comment>
  </commentList>
</comments>
</file>

<file path=xl/sharedStrings.xml><?xml version="1.0" encoding="utf-8"?>
<sst xmlns="http://schemas.openxmlformats.org/spreadsheetml/2006/main" count="23336" uniqueCount="550">
  <si>
    <t>Наименование показателя</t>
  </si>
  <si>
    <t>Код субсидии</t>
  </si>
  <si>
    <t>Сумма</t>
  </si>
  <si>
    <t>руб.,коп.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</si>
  <si>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</si>
  <si>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</si>
  <si>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</si>
  <si>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</si>
  <si>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</si>
  <si>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</si>
  <si>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</si>
  <si>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</si>
  <si>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</si>
  <si>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Прочие расходы                           </t>
  </si>
  <si>
    <t xml:space="preserve">Увеличение стоимости основных средств    </t>
  </si>
  <si>
    <t>223.020</t>
  </si>
  <si>
    <t>223.030</t>
  </si>
  <si>
    <t>Главный бухгалтер</t>
  </si>
  <si>
    <t>.032100000</t>
  </si>
  <si>
    <t>Собственные средства</t>
  </si>
  <si>
    <t>.032100100</t>
  </si>
  <si>
    <t>.032102341</t>
  </si>
  <si>
    <t>.032101402</t>
  </si>
  <si>
    <t>.032101421</t>
  </si>
  <si>
    <t>Код по бюджетной
классификации  
операции сектора
государственного
управления</t>
  </si>
  <si>
    <t>пункт 44фз закона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</si>
  <si>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</si>
  <si>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</si>
  <si>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</si>
  <si>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 xml:space="preserve">закупки, всего:                          </t>
  </si>
  <si>
    <t>контрольные цифры</t>
  </si>
  <si>
    <t>фактические цифры</t>
  </si>
  <si>
    <t>2 млн. руб</t>
  </si>
  <si>
    <t>пп.1 п.1 ст.93</t>
  </si>
  <si>
    <t>водоотвед., водоснабж., теплоснабж.</t>
  </si>
  <si>
    <t>электроснабжение</t>
  </si>
  <si>
    <t>п.п.29 п.1 ст. 93</t>
  </si>
  <si>
    <t>учебники</t>
  </si>
  <si>
    <t>п.п.14 п.1 ст. 93</t>
  </si>
  <si>
    <t>устранение аварий</t>
  </si>
  <si>
    <t xml:space="preserve"> </t>
  </si>
  <si>
    <t>.032101314</t>
  </si>
  <si>
    <t>.032102332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</si>
  <si>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</si>
  <si>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Субсидия "На профилактику правонарушений в Бокситогорском муниципальном районе "</t>
  </si>
  <si>
    <t>Субсидия на иные цели за счёт средств областного бюджета на питание обучающихся в общеобразовательных учреждениях, расположенных на территории Ленинградской области</t>
  </si>
  <si>
    <t>СУБСИДИИ НА ИНЫЕ ЦЕЛИ</t>
  </si>
  <si>
    <t>КВР</t>
  </si>
  <si>
    <t>Укрепление МТБ организаций общего образования - на организацию электронного и дистанционного обучения детей-инвалидов, обучающихся в МОУ</t>
  </si>
  <si>
    <t>Субсидия на мероприятия по развитию системы начального общего, основного общего и среднего общего образования детей</t>
  </si>
  <si>
    <t>.032101049</t>
  </si>
  <si>
    <t>.032101022</t>
  </si>
  <si>
    <t>.032 0702 52 2 01 00160 611 241 003 - .032100000</t>
  </si>
  <si>
    <t>.032 0702 52 2 01 00160 611 241 013 - 032100100</t>
  </si>
  <si>
    <t>таблица 2</t>
  </si>
  <si>
    <t>Код строки</t>
  </si>
  <si>
    <t>код субсидии</t>
  </si>
  <si>
    <t>отраслевой код</t>
  </si>
  <si>
    <t>кфср</t>
  </si>
  <si>
    <t xml:space="preserve">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</si>
  <si>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</si>
  <si>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</si>
  <si>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</si>
  <si>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</si>
  <si>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</si>
  <si>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</si>
  <si>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</si>
  <si>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</si>
  <si>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</si>
  <si>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</si>
  <si>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</si>
  <si>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</si>
  <si>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</si>
  <si>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</si>
  <si>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</si>
  <si>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</si>
  <si>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</si>
  <si>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</si>
  <si>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</si>
  <si>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</si>
  <si>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</si>
  <si>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>.00000000000000000</t>
  </si>
  <si>
    <t>практика студентов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</si>
  <si>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</si>
  <si>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</si>
  <si>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</si>
  <si>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</si>
  <si>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>иные субсидии, предоставленные из бюджета</t>
  </si>
  <si>
    <t>150</t>
  </si>
  <si>
    <t>14130120000000000</t>
  </si>
  <si>
    <t>прочие доходы</t>
  </si>
  <si>
    <t>160</t>
  </si>
  <si>
    <t>доходы от операций с активами</t>
  </si>
  <si>
    <t>Субсидия на реализацию комплекса мер по организации работы по сблансированному  питанию детей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</si>
  <si>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</si>
  <si>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</si>
  <si>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</si>
  <si>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</si>
  <si>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</si>
  <si>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</si>
  <si>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</si>
  <si>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</si>
  <si>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</si>
  <si>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</si>
  <si>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</si>
  <si>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</si>
  <si>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 xml:space="preserve">.032 0702 52 2 01 00160 611 241 003                             .032 0702 52 2 01 71530 611 241 003 3003                                 </t>
  </si>
  <si>
    <t>x</t>
  </si>
  <si>
    <t>.0702</t>
  </si>
  <si>
    <t>111</t>
  </si>
  <si>
    <t>212</t>
  </si>
  <si>
    <t>112</t>
  </si>
  <si>
    <t>213</t>
  </si>
  <si>
    <t>119</t>
  </si>
  <si>
    <t>221</t>
  </si>
  <si>
    <t>244</t>
  </si>
  <si>
    <t>226</t>
  </si>
  <si>
    <t>290</t>
  </si>
  <si>
    <t>310</t>
  </si>
  <si>
    <t>340</t>
  </si>
  <si>
    <t>223</t>
  </si>
  <si>
    <t>225</t>
  </si>
  <si>
    <t>851</t>
  </si>
  <si>
    <t>853</t>
  </si>
  <si>
    <t>.0701</t>
  </si>
  <si>
    <t>.032 1003 53 3 03 71440 612 241 015 3012</t>
  </si>
  <si>
    <t>1003</t>
  </si>
  <si>
    <t>.032 0702 52 2 04 14020  612 241 015</t>
  </si>
  <si>
    <t>222</t>
  </si>
  <si>
    <t>прочие расходы (кроме рас ходов на закупку товаров, работ, услуг)</t>
  </si>
  <si>
    <t>250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</si>
  <si>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</si>
  <si>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</si>
  <si>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</si>
  <si>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</si>
  <si>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</si>
  <si>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</si>
  <si>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</si>
  <si>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</si>
  <si>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</si>
  <si>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</si>
  <si>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</si>
  <si>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</si>
  <si>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</si>
  <si>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</si>
  <si>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</si>
  <si>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</si>
  <si>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</si>
  <si>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</si>
  <si>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</si>
  <si>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</si>
  <si>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</si>
  <si>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.032 0702 52 2 01 71530 611 241 003 3003 - 032100000 (бывший 032100307)</t>
  </si>
  <si>
    <t>.032 0702 52 2 01 71530  611 241 013 3003 - 032100100 (бывший 032100007)</t>
  </si>
  <si>
    <t>.0314</t>
  </si>
  <si>
    <t>Субсидия  на организацию и проведение оздоровительной работы в период летних школьных каникул</t>
  </si>
  <si>
    <t>.032 0702 52 2 01 00160 611 241 - 000000500</t>
  </si>
  <si>
    <t>0702</t>
  </si>
  <si>
    <t>.032 0707 52 2 01 00160 611 241 - 000000500</t>
  </si>
  <si>
    <t>канцелярия</t>
  </si>
  <si>
    <t>деретизация</t>
  </si>
  <si>
    <t>мед-2625 хоз-4358 культ-3150</t>
  </si>
  <si>
    <t>14140110000000000</t>
  </si>
  <si>
    <t>032102332</t>
  </si>
  <si>
    <t>питание</t>
  </si>
  <si>
    <t>медикаменты</t>
  </si>
  <si>
    <t>14110650000000000</t>
  </si>
  <si>
    <t>страхование детей</t>
  </si>
  <si>
    <t>практика</t>
  </si>
  <si>
    <t>хоз товары</t>
  </si>
  <si>
    <t>акарицидная обрабртка</t>
  </si>
  <si>
    <t>з/п мед</t>
  </si>
  <si>
    <t>не вкл в пз</t>
  </si>
  <si>
    <t>000000000</t>
  </si>
  <si>
    <t>.000</t>
  </si>
  <si>
    <t>510</t>
  </si>
  <si>
    <t>610</t>
  </si>
  <si>
    <t xml:space="preserve">.032 0702 52 2 03 14210 612 241 015 </t>
  </si>
  <si>
    <t xml:space="preserve">Прочие работы, услуги                   </t>
  </si>
  <si>
    <t>ОРГАНИЗАЦИЯ ПИТАНИЯ -.032102341</t>
  </si>
  <si>
    <t>п.п.5 ч.1 ст. 93</t>
  </si>
  <si>
    <t>п.п.4 ч.1 ст.93</t>
  </si>
  <si>
    <t>остаток</t>
  </si>
  <si>
    <t>УТВЕРЖДЕНО</t>
  </si>
  <si>
    <t>ИЗМЕНЕНИЯ К ПЛАНУ</t>
  </si>
  <si>
    <t>п.п.8 ч.1 ст.93</t>
  </si>
  <si>
    <t xml:space="preserve">Показатели по поступлениям и выплатам учреждения (подразделения) МБОУ  "ПООШ № 2" </t>
  </si>
  <si>
    <t>МБОУ "Пикалевская ООШ № 2"</t>
  </si>
  <si>
    <t>Увеличение стоимости материальных запасов</t>
  </si>
  <si>
    <t xml:space="preserve">.032 0702 52 2 01 00160 611 241 013                                               .032 0702 52 2 01 71530  611 241 013 3003             </t>
  </si>
  <si>
    <t xml:space="preserve">.032 0314 57 1 01 13320 612 241 015                                    .032 0314 57 1 01 13240 612 241 015 </t>
  </si>
  <si>
    <t xml:space="preserve">.032 0702 52 2 02 74060 612 241 015 141 000 1016                                    .032 0702 52 2 02 S4060 612 241 015 141 000 1016  </t>
  </si>
  <si>
    <t>.032101060</t>
  </si>
  <si>
    <t>.14110160000000000</t>
  </si>
  <si>
    <t>243</t>
  </si>
  <si>
    <t>Работы, услуги по содержанию имущества</t>
  </si>
  <si>
    <t>.100000000S0000000</t>
  </si>
  <si>
    <t xml:space="preserve">субсидия на муниципальное задание на выполнение услуги </t>
  </si>
  <si>
    <t xml:space="preserve">субсидия на муниципальное задание на содержание имущества </t>
  </si>
  <si>
    <t>На проведение капитального ремонта пришкольных спортивных сооружений и стадионов</t>
  </si>
  <si>
    <t>пг утв.</t>
  </si>
  <si>
    <t xml:space="preserve">.032101060. </t>
  </si>
  <si>
    <t>дератизация</t>
  </si>
  <si>
    <t>.032101200</t>
  </si>
  <si>
    <t xml:space="preserve"> .032101049</t>
  </si>
  <si>
    <t>295</t>
  </si>
  <si>
    <t>291</t>
  </si>
  <si>
    <t>131</t>
  </si>
  <si>
    <t>189</t>
  </si>
  <si>
    <t>183</t>
  </si>
  <si>
    <t>.032 0702 52 2 02 72020 612 241 015 141 000 4011</t>
  </si>
  <si>
    <t xml:space="preserve"> 032101049</t>
  </si>
  <si>
    <t>.14110040000000312</t>
  </si>
  <si>
    <t>Прочие работы, услуги             52 2 02 S0510</t>
  </si>
  <si>
    <t>.100000000S0000112</t>
  </si>
  <si>
    <t>.14110040000000315</t>
  </si>
  <si>
    <t>.100000000S0000115</t>
  </si>
  <si>
    <t>.032 0707 52 7 01 10600 612 241 015,                                         .032 0707 52 7 01 74410 612 241 015 000 000 1065,                                   .032 0707 52 7 01 S4410 612 241 015</t>
  </si>
  <si>
    <t>.0707</t>
  </si>
  <si>
    <t>.14110650000000000</t>
  </si>
  <si>
    <t xml:space="preserve">Увеличение стоимости основных средств (КЦСР 52 7 02 10490 - 3400,00)   </t>
  </si>
  <si>
    <t xml:space="preserve">Увеличение стоимости материальных запасов </t>
  </si>
  <si>
    <t>.032 0702 52 2 03 14210 612 241 015</t>
  </si>
  <si>
    <t>поступление платы родителей за путевки в летние лагеря</t>
  </si>
  <si>
    <t>.032 0702 52 2 01 00160 611 241                                                      .032 0707 52 2 01 00160 611 241</t>
  </si>
  <si>
    <t xml:space="preserve">Субсидия на иные цели на оплату штрафов надзорных органов </t>
  </si>
  <si>
    <t>.032 0702 52 2 03 14210 612 241 000 015</t>
  </si>
  <si>
    <t>Прочие работы, услуги</t>
  </si>
  <si>
    <t>00000000000000000</t>
  </si>
  <si>
    <t>Субсидия на иные цели на развитие кадрового потенциала в сфере образования</t>
  </si>
  <si>
    <t>.032101084</t>
  </si>
  <si>
    <t>.032 0705 5250113080 612 241 015</t>
  </si>
  <si>
    <t>.0705</t>
  </si>
  <si>
    <t>.032 0705 5250113080 612 241 015-.032101084</t>
  </si>
  <si>
    <t>.032 0702 52 2 02 S0510 612 241 015 141 312 1004                     .032 0702 52 2 02 S0510 612 241 015 000 112 0000                            .032 0702 52 2 02 S0510 612 241 015 141 315 1004                           .032 0702 52 2 02 S0510 612 241 015 000 115 0000</t>
  </si>
  <si>
    <t>Объем закупаемой продукции на 2019 год</t>
  </si>
  <si>
    <t xml:space="preserve">Прочие расходы   </t>
  </si>
  <si>
    <t xml:space="preserve"> "Увеличение стоимости неисключительных прав на результаты интеллектуальной деятельности с неопределенным сроком полезного использования";</t>
  </si>
  <si>
    <t>352</t>
  </si>
  <si>
    <t>Увеличение стоимости лекарственных препаратов и материалов, применяемых в медицинских целях;</t>
  </si>
  <si>
    <t>341</t>
  </si>
  <si>
    <t>Увеличение стоимости прочих оборотных запасов (материалов);</t>
  </si>
  <si>
    <t>346</t>
  </si>
  <si>
    <t>Увеличение стоимости прочих материальных запасов однократного применения</t>
  </si>
  <si>
    <t>349</t>
  </si>
  <si>
    <t xml:space="preserve">    (Социальные пособия и компенсации персоналу в денежной форме      )             </t>
  </si>
  <si>
    <t>266</t>
  </si>
  <si>
    <t>344</t>
  </si>
  <si>
    <t>"Увеличение стоимости строительных материалов";</t>
  </si>
  <si>
    <t>Налоги, пошлины и сборы</t>
  </si>
  <si>
    <t>852</t>
  </si>
  <si>
    <t>Прочие работы, услуги (ЭДО)</t>
  </si>
  <si>
    <t>Оплата электроэнергии</t>
  </si>
  <si>
    <t>замена и поверка приборов учета (поверка прибора учета ТЭ)</t>
  </si>
  <si>
    <t>обслуживание АПС</t>
  </si>
  <si>
    <t>микробиол. Иссл.; произв. Контроль</t>
  </si>
  <si>
    <t>гидропромывка</t>
  </si>
  <si>
    <t>функционирование канала связи</t>
  </si>
  <si>
    <t>сан-гиг.обучение</t>
  </si>
  <si>
    <t>Медикаменты</t>
  </si>
  <si>
    <t>строительные материалы</t>
  </si>
  <si>
    <t>доступ в сеть Интернет</t>
  </si>
  <si>
    <t>охрана помещений</t>
  </si>
  <si>
    <t>Услуги связи</t>
  </si>
  <si>
    <t>медицинские осмотры, вкл.псих.осв.</t>
  </si>
  <si>
    <t>курсы провышения квалификации</t>
  </si>
  <si>
    <t>Транспортные услуги</t>
  </si>
  <si>
    <t>вывоз мусора</t>
  </si>
  <si>
    <t>Прочие оборотные запасы</t>
  </si>
  <si>
    <t>на 09 января 2019 года</t>
  </si>
  <si>
    <t>МК, заключенные по результатам конкурсных процедур 2018 г.</t>
  </si>
  <si>
    <t>Руководитель муниципального учреждения ___________ В.В. Прокофьева</t>
  </si>
  <si>
    <t>учреждения                               ____________ Е.В. Семенова</t>
  </si>
  <si>
    <t>пп.4п.1 ст.93</t>
  </si>
  <si>
    <t>аукцион</t>
  </si>
  <si>
    <t>договор по пит с 09.01.19 - 08.02.19</t>
  </si>
  <si>
    <t>пп.29 п.1 ст.93</t>
  </si>
  <si>
    <t>на 16 января 2019 года</t>
  </si>
  <si>
    <t>.032 0314 57 1 01 13320 612 241 015-           .032101314   (.00000000000000000)</t>
  </si>
  <si>
    <t>КТС</t>
  </si>
  <si>
    <t xml:space="preserve">субсидия на иные цели на укрепление МТБ образовательных организаций </t>
  </si>
  <si>
    <t>.032 0702 52 2 02 10490 612 241 015 - 032101049</t>
  </si>
  <si>
    <t>не вкл</t>
  </si>
  <si>
    <t>на 30 января 2019 года</t>
  </si>
  <si>
    <t>152</t>
  </si>
  <si>
    <t>охрана помещений 1 квартал</t>
  </si>
  <si>
    <t>дог№08-02/01-19 от 29.01.2019 с ООО"ОО Тродос"</t>
  </si>
  <si>
    <t>уборка 1 квартал</t>
  </si>
  <si>
    <t>дог№2 от 28.01.2019 с МАУ "ХЭС"</t>
  </si>
  <si>
    <t>экспл. и тех. Обслуживание до 30.06.19</t>
  </si>
  <si>
    <t>дог№16 от 28.01.19 с МАУ "ХЭС"</t>
  </si>
  <si>
    <t>дог№88910 от 30.01.2019 с ОООРКС энерго</t>
  </si>
  <si>
    <t>сопровождение 1С</t>
  </si>
  <si>
    <t>дог№С19-047 от 30.01.2019 с ООО"ПК Сервис"</t>
  </si>
  <si>
    <t>дог№01-02Ш/01-19 от 29.01.2019 с ООО"ОО Тродос"</t>
  </si>
  <si>
    <t>ТО Средств пож. Без</t>
  </si>
  <si>
    <t>дог№2/1901/17РПС от 28.01.2019 ООО"РПС"</t>
  </si>
  <si>
    <t>дог№01_0000_00794_8 от 31.01.2019 с ЗАО"Центр безопастности "Охрна помещений"</t>
  </si>
  <si>
    <t>обслуживание узла учета</t>
  </si>
  <si>
    <t>дог№10 от 29.01.2019 с ООО"УС"</t>
  </si>
  <si>
    <t>дог№19 от 06.02.2019 с АО"ПТС"</t>
  </si>
  <si>
    <t>гвс,отопление на январь</t>
  </si>
  <si>
    <t>Оплата отопления 02-12 2019</t>
  </si>
  <si>
    <t>дог№184/18-ТО от 06.02.2019 с ООО"Гранд-Технолоджи"</t>
  </si>
  <si>
    <t>на 11 февраля 2019 года</t>
  </si>
  <si>
    <t>транспортировка отходов</t>
  </si>
  <si>
    <t>дог№247000003953 от 31.01.2019 с Ростелеком</t>
  </si>
  <si>
    <t>доступ в сеть Интернетдо 31.07.2019</t>
  </si>
  <si>
    <t>дог№5 от 07.02.2019 с МБОУ ДО "БЦДО"</t>
  </si>
  <si>
    <t>ОРГАНИЗАЦИЯ ПИТАНИЯ  с 11.02.19-31.05.19</t>
  </si>
  <si>
    <t>извещение 0145300013119000041              икз193472200212447150100100050015629000</t>
  </si>
  <si>
    <t>дог№04/85/04 от 18.02.2019 с ФБУЗ"ЦГиЭвЛО"</t>
  </si>
  <si>
    <t>дог№5 от 18.02.2019 с ОАО"Фармация"</t>
  </si>
  <si>
    <t>Изготовление  квалифицированного сертификата  ключа проверки электронной подписи</t>
  </si>
  <si>
    <t>дог№93/2/УЦ от 06.02.2019 с ФГБУ "ФЦТ"</t>
  </si>
  <si>
    <t>дог№11/19 от 25.02.2019 С ООО"Пик.Транспортная Компания"</t>
  </si>
  <si>
    <t>ремонт и заправка картриджей</t>
  </si>
  <si>
    <t>дог№22/19 от 21.02.2019 с ООО"Компас"</t>
  </si>
  <si>
    <t>дог№25 от 21.02.2019 с ООО"Комус"</t>
  </si>
  <si>
    <t>медосмотры</t>
  </si>
  <si>
    <t>дог№ПО19 от 20.02.2019 с ООО"МедикалГрупп"</t>
  </si>
  <si>
    <t>дог№30 от 26.02.2019 с ИП Томаков В.В.</t>
  </si>
  <si>
    <t>дог№20/19 от 26.02.2019 с ИП Бояренцев В.В.</t>
  </si>
  <si>
    <t>услуги по обслуживанию официального сайта школы</t>
  </si>
  <si>
    <t>дог№17/3 от 01.03.2019 с ООО"ДиАйЭс"</t>
  </si>
  <si>
    <t>дог№09/19 от 30.01.2019 с ООО"Торговый дом марс" доп согл от 04.03.2019</t>
  </si>
  <si>
    <r>
      <t>дог№01/86/30 от 28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>02.2019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 ФБУЗ"ЦГиЭв ЛО"</t>
    </r>
  </si>
  <si>
    <r>
      <t>дог№01/86/30 от 28.02.2019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 ФБУЗ"ЦГиЭв ЛО"</t>
    </r>
  </si>
  <si>
    <t>перезарядка  огнетушителя</t>
  </si>
  <si>
    <t>дог№2/1903/2РПС от 11.03.2019  с ООО"РПС"</t>
  </si>
  <si>
    <t xml:space="preserve"> ФИНАНСОВО-ХОЗЯЙСТВЕННОЙ ДЕЯТЕЛЬНОСТИ                                                              МУНИЦИПАЛЬНОГО БЮДЖЕТНОГО ОБЩЕОБРАЗОВАТЕЛЬНОГО УЧРЕЖДЕНИЯ                                                    "ОСНОВНАЯ ОБЩЕОБРАЗОВАТЕЛЬНАЯ ШКОЛА № 2" ГОРОДА ПИКАЛЕВО НА 2019 ГОД</t>
  </si>
  <si>
    <t>на 18 марта 2019 года</t>
  </si>
  <si>
    <t>.14110800000000112</t>
  </si>
  <si>
    <t>.14110800000000115</t>
  </si>
  <si>
    <t xml:space="preserve">.032 0702 52 2 02 10490 612 241 015 000 000 0000                   .032 0702 52202S4700 612 241 015 141 112 1080                 .032 0702 52202S4700 612 241 015 000 112 0000             </t>
  </si>
  <si>
    <t>Прочие работы, услуги            52202S4700</t>
  </si>
  <si>
    <t>Прочие работы, услуги           52202S4700</t>
  </si>
  <si>
    <t>Прочие работы, услуги             52202S4700</t>
  </si>
  <si>
    <t xml:space="preserve">канцелярия </t>
  </si>
  <si>
    <t>ЭиДО обуч</t>
  </si>
  <si>
    <t>ТС ЭиДО</t>
  </si>
  <si>
    <t>дог№18 от 18.03.2019 с ООО"Комус"</t>
  </si>
  <si>
    <t>уборка 2 квартал</t>
  </si>
  <si>
    <t>дог№24 от 01.04.19 с МАУ "ХЭС"</t>
  </si>
  <si>
    <t>на 04 апреля 2019 года</t>
  </si>
  <si>
    <t>жалюзи</t>
  </si>
  <si>
    <t>155</t>
  </si>
  <si>
    <t>охрана помещений 2 квартал</t>
  </si>
  <si>
    <t>дог№08-02/04-19 от 01.04.2019 с ООО"ОО"Сенат"</t>
  </si>
  <si>
    <t xml:space="preserve">Услуги по по сбору и накоплению отходов </t>
  </si>
  <si>
    <t>дог№09-О/19от 26.03.2019 с ООО"Благоустройство"</t>
  </si>
  <si>
    <t>дог№19 от 31.01.2019 с АО"Пикалевские тепловые сети"согл о расторжении от 27.03.2019</t>
  </si>
  <si>
    <t>дог№СП514 от 15.04.2019 с ЧОУ ДПО "ИПК и ПП"</t>
  </si>
  <si>
    <t>дог№33 от 15.04.2019 с ИП Бояренцев В.В.</t>
  </si>
  <si>
    <t>дог№СП513 от 15.04.2019 с ЧОУ ДПО "ИПК и ПП"</t>
  </si>
  <si>
    <t>дог№СП515 от 15.04.2019 с ЧОУ ДПО "ИПК и ПП"</t>
  </si>
  <si>
    <t>семинар по 1С</t>
  </si>
  <si>
    <t>дог№943 от 17.04.2019 с ООО"ЛВС"</t>
  </si>
  <si>
    <t>на 22 апреля 2019 года</t>
  </si>
  <si>
    <t>Увеличение стоимости основных средств</t>
  </si>
  <si>
    <t>.032 0707 52 7 01 10600 612 241 015,                                         .032 0707 52 7 01 S4410  612 241 015 000 000 1065,                                   .032 0707 52 7 01 S4410 612 241 015</t>
  </si>
  <si>
    <t>227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</si>
  <si>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</si>
  <si>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</si>
  <si>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оборотных запасов (материалов)</t>
  </si>
  <si>
    <t>Летний лагерь</t>
  </si>
  <si>
    <t>.032 0707 52 7 01 10600 612 241 015,                                                                                                        .032 0707 52 7 01 S4410 612 241 015 1065,                                                                                                                                                                                                         .032 0707 52 7 01 S4410 612 241 015    - 032101022</t>
  </si>
  <si>
    <t>вода</t>
  </si>
  <si>
    <t>.032 0707 52 2 01 00160 611 241 -.000000500</t>
  </si>
  <si>
    <t>страхование</t>
  </si>
  <si>
    <t>вода холодная</t>
  </si>
  <si>
    <t>дог№Бкс/ПК-БЖ-17/2019-ВК  от 23.04.2019 с ГУП "Леноблводоканал"</t>
  </si>
  <si>
    <t>Субсидия на оргнанизацию электронного и дистанционного обучения детей-инвалидов</t>
  </si>
  <si>
    <t>032101470</t>
  </si>
  <si>
    <t xml:space="preserve"> .032 0702 52202S4700 612 241 015 141 112 1080                 .032 0702 52202S4700 612 241 015 000 112 0000                            </t>
  </si>
  <si>
    <t>на 29 апреля 2019 года</t>
  </si>
  <si>
    <t xml:space="preserve"> .032 0702 52202S4700 612 241 015 141 112 1080                                                       .032 0702 52202S4700 612 241 015 000 112 0000                 </t>
  </si>
  <si>
    <t xml:space="preserve"> .032101470</t>
  </si>
  <si>
    <t xml:space="preserve">900 дератиз,  </t>
  </si>
  <si>
    <t>дог№02/920/611 от 30.04.2019 с ФБУЗ"ЦГиЭвЛО" фил. в Тихвине</t>
  </si>
  <si>
    <t>анализы  перс</t>
  </si>
  <si>
    <t>анализы  перс,</t>
  </si>
  <si>
    <t>анализы  воды</t>
  </si>
  <si>
    <t>дог№29/06 от 26.04.2019 с ОАО"Фармацея"</t>
  </si>
  <si>
    <t>дог№30/06 от 26.04.2019 с ОАО"Фармацея"</t>
  </si>
  <si>
    <t>на 13мая 2019 года</t>
  </si>
  <si>
    <t>путевки для детей ТЖС в загородный лагерь</t>
  </si>
  <si>
    <t xml:space="preserve">186902,1 питание, </t>
  </si>
  <si>
    <t xml:space="preserve"> 5901,97 зп,</t>
  </si>
  <si>
    <t>дог№04/356/22 от 14.05.2019 с ФБУЗ"ЦГиЭ в ЛО "в бокс р-не</t>
  </si>
  <si>
    <t>аккарицидная обработка</t>
  </si>
  <si>
    <t>электротовары</t>
  </si>
  <si>
    <t>дог№19019 от 15.05.2019 с ИП Чувашов Д.М.</t>
  </si>
  <si>
    <t>К№01453000131190001710001 от 15.05.2019 с ООО"СОБР-СТРОЙ"</t>
  </si>
  <si>
    <t>дог№30/05 от 30.04.2019 с ИП Смирнов И.А.</t>
  </si>
  <si>
    <t>дог№31/05 от 30.04.2019 с ИП Смирнов И.А.</t>
  </si>
  <si>
    <t>дог№45 от 29.04.2019 с ООО"Комус"</t>
  </si>
  <si>
    <t>дог№06 от 06.05.2019 с ООО"Мед2"</t>
  </si>
  <si>
    <t>псих. Осв</t>
  </si>
  <si>
    <t>дог№SYS 1531690191 от 30.04.2019 с СПАО"РЕСО-Гарантия"</t>
  </si>
  <si>
    <t>дог№SYS 1388372091 от 30.04.2019 с СПАО"РЕСО-Гарантия"</t>
  </si>
  <si>
    <t>хоз тов</t>
  </si>
  <si>
    <t>дог№17 от 16.05.2019 с ИП Тормаков В.В.</t>
  </si>
  <si>
    <t>извещение №0145300013119000171</t>
  </si>
  <si>
    <t>дог№10 от 14.05.2019 с МБОУДО "БЦДО"</t>
  </si>
  <si>
    <t>на 21мая 2019 года</t>
  </si>
  <si>
    <t>611,6  учебники, 29,845т  уч расх</t>
  </si>
  <si>
    <t>культ</t>
  </si>
  <si>
    <t>1331,4 хоз</t>
  </si>
  <si>
    <t>дог№44 от 15.05.2019 с ИП Логинов Д.С.</t>
  </si>
  <si>
    <t>дог№1 от 20.05.2019 с Печейкина С.С.</t>
  </si>
  <si>
    <t>дог№21/05 от 21.05.2019 с ООО"Виктория"</t>
  </si>
  <si>
    <t>дог№45 от 15.05.2019 с ИПЛогинов Д.С.</t>
  </si>
  <si>
    <t>3150 культ</t>
  </si>
  <si>
    <t>дог№9 от 21.05.2019 с МОУДО ДООЦ"Огонек"</t>
  </si>
  <si>
    <t>дог№1Р от 15.05.2019 с МАУ"ХЭС"</t>
  </si>
  <si>
    <t>правктика с19.04.2019 до 10.05.2019</t>
  </si>
  <si>
    <t>дог№5 от 24.05.2019 с Наганюк Н.Н.</t>
  </si>
  <si>
    <t>начальник лагеря</t>
  </si>
  <si>
    <t>дог№4 от 24.05.2019 с  Печейкина  С.С,</t>
  </si>
  <si>
    <t>дог№6 от 24.05.2019 с Лощинская И.Н</t>
  </si>
  <si>
    <t>дог№3 от 03.06.2019 с Романова О.И.</t>
  </si>
  <si>
    <t>дог№2 от 20.05.2019 с Прокофьева В.В.</t>
  </si>
  <si>
    <t>дог№23/05 от 27.05.2019 с МАУ"ХЭС"</t>
  </si>
  <si>
    <t>к.№01453000131190000410001 от 19.02.2019 с ООО"Торговый дом марс" доп согл от 31.05.2019</t>
  </si>
  <si>
    <t xml:space="preserve">ремонт помещений (3.1,3.8,1.3) срок работ до 20.06.2019 оплата 30 кл. дней </t>
  </si>
  <si>
    <t>на 14 июня 2019 года</t>
  </si>
  <si>
    <t xml:space="preserve">Прочие работы, услуги   </t>
  </si>
  <si>
    <t xml:space="preserve">.032 0702(0705) 52 2 01 00160 611 241 003                             .032 0702 52 2 01 71530 611 241 003 3003                                 </t>
  </si>
  <si>
    <t>на 26 июня 2019 года</t>
  </si>
  <si>
    <t>дог№13 от 26.06.2019 с МОУДО ДООЦ"Огонек"</t>
  </si>
  <si>
    <t>уборка 3 квартал</t>
  </si>
  <si>
    <t>дог№31от 28.01.19 с МАУ "ХЭС"</t>
  </si>
  <si>
    <t>экспл. и тех. Обслуживание до 31.12.19</t>
  </si>
  <si>
    <t>дог№32 от 01.07.19 с МАУ "ХЭС"</t>
  </si>
  <si>
    <t xml:space="preserve">охрана </t>
  </si>
  <si>
    <t>дог№08-02/04-19 от 01.07.2019 с ООО"ОО"Сенат"</t>
  </si>
  <si>
    <t>дог№12 от 10.07.2019 с МБОУ ДО "БЦДО"</t>
  </si>
  <si>
    <t>пп.14п.1 ст.93</t>
  </si>
  <si>
    <t>ремонт помещений (1.5 лабораторная)</t>
  </si>
  <si>
    <t>дог№26/07 от 26.07.2019 с МАУ"ХЭС"</t>
  </si>
  <si>
    <t>дог№29/07 от 29.07.2019 с МАУ"ХЭС"</t>
  </si>
  <si>
    <t xml:space="preserve"> рем помещений(3,4)</t>
  </si>
  <si>
    <t xml:space="preserve">дог№11/07 от 29.07.2019 с ИП Мурашева Т.И. </t>
  </si>
  <si>
    <t>дог№31/07 от 01.08.2019 с ИП Полевик  Ю.Н.</t>
  </si>
  <si>
    <t>ремонт помещений (ремонт помещений№3,5 и 1.5) ремонт пола)</t>
  </si>
  <si>
    <t>дог№02/08 от 02.08.2019 с ИП Мурашева Т.И.</t>
  </si>
  <si>
    <t>остаток на ремонт помещения</t>
  </si>
  <si>
    <t xml:space="preserve"> остаток на окна</t>
  </si>
  <si>
    <t>Замена оконных блоков с 24.06.2019 в течение 30 рабочих дней</t>
  </si>
  <si>
    <t>список в папке с таб 2</t>
  </si>
  <si>
    <t>услуги по перевозке горячих завтраков и обедов</t>
  </si>
  <si>
    <t>№03от 04.02.2019 с Ип Акимова Е.А.</t>
  </si>
  <si>
    <r>
      <t>На ремонт помещения 1.5</t>
    </r>
    <r>
      <rPr>
        <b/>
        <sz val="12"/>
        <rFont val="Times New Roman"/>
        <family val="1"/>
      </rPr>
      <t xml:space="preserve"> (Вып раб 22.08.19-30.08.19 Опл 30 к.д.)</t>
    </r>
  </si>
  <si>
    <t>Дог.№01/08 от 01.08.19 МАУ "ХЭС"</t>
  </si>
  <si>
    <t>на ремонт помещений №2.1, 2.4, 3.1,2.3, 1.5, гардероб (покраска пола и стен) (Вып раб 05.08.19-30.08.19 Опл раб 30 к.д.)</t>
  </si>
  <si>
    <t>Дог.№03/08 от 05.08.19 ИП Мурашева Т.И.</t>
  </si>
  <si>
    <t>К №4 от 13.08.2019 с АО "Издательство "Просвещение"</t>
  </si>
  <si>
    <t>дог.№19 от 13.08.2019 с АО "ТЭМ"</t>
  </si>
  <si>
    <t>поверка приборов учета</t>
  </si>
  <si>
    <t>дог.№ 262 от 19.08.2019г с ООО Исследовательский центр "НОВИ"</t>
  </si>
  <si>
    <t>услуги по сбору, обобщению и анализу информации для проведения независимой оценки качества условий оказания услуг организациями образования</t>
  </si>
  <si>
    <t>на 03 сентября 2019 года</t>
  </si>
  <si>
    <t xml:space="preserve">Пени 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</si>
  <si>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</si>
  <si>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</si>
  <si>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профилактические испытания электрооборудования</t>
  </si>
  <si>
    <t>Дог. №70/18-ЭИ от 26.08.2019 с ИП Башкин Е.Е.</t>
  </si>
  <si>
    <t>Соглашение о расторжении от 03.09.2019г.</t>
  </si>
  <si>
    <t>на 10 сентября 2019 года</t>
  </si>
  <si>
    <t>Дог.№30/08 от 29.08.19 ООО"Комус"</t>
  </si>
  <si>
    <t>Дог.№101/19-ПК-ТО от 04.09.19 ООО "Гранд-сервис"</t>
  </si>
  <si>
    <t>Дог.№18-19 от 06.09.2019 с ООО "М-Трэйд"</t>
  </si>
  <si>
    <t>Организ.горячего питания с 02.09.2019г. по 29.11.2019г.</t>
  </si>
  <si>
    <t>Дог.№02/19 от 12.09.2019 с ООО "ТД Марс"</t>
  </si>
  <si>
    <t>дог№08-02/09-19 от 16.09.2019 с ООО"ОО"Сенат"</t>
  </si>
  <si>
    <t>на замену оконных блоков (Вып работ 26.08.19-29.08.19. Опл 30 к.д.)</t>
  </si>
  <si>
    <t>Дог.№26/08 от 26.08.19 Мурашева Т.И.</t>
  </si>
  <si>
    <t>на 24 сентября 2019 года</t>
  </si>
  <si>
    <t>№04 от 24.09.2019 с Ип Акимова Е.А.</t>
  </si>
  <si>
    <t>Дог.№49 от 01.10.19 МАУ "ХЭС"</t>
  </si>
  <si>
    <t>Уборка  4 квартал (01.10.19-31.12.19)</t>
  </si>
  <si>
    <t>на 14 октября 2019 года</t>
  </si>
  <si>
    <t>посещение бассейна</t>
  </si>
  <si>
    <t>посуда</t>
  </si>
  <si>
    <t>Дог.№04/11 от 18.10.2019 с ИП Тормаков В.В.</t>
  </si>
  <si>
    <t>работы по откачк канал.сетей</t>
  </si>
  <si>
    <t>Дог.№ Бкс-133/19-Усл от 16.10.2019 с ГУП "Леноблводоканал"</t>
  </si>
  <si>
    <t>Дог.№35/19 от 29.10.19 МБУ "ВСКБР"</t>
  </si>
  <si>
    <t>Неисключительные права использования программ</t>
  </si>
  <si>
    <t>д №999023552 от 06.02.2019 с ООО "Аракс"</t>
  </si>
  <si>
    <t>на 15 ноября 2019 года</t>
  </si>
  <si>
    <t>Услуги контент-фильтрации</t>
  </si>
  <si>
    <t>д №Ю-03697 от 14.11.2019 с ООО "СкайДНС"</t>
  </si>
  <si>
    <t>ДС о расторжении №1 от 31.10.2019</t>
  </si>
  <si>
    <t>Информационный стенд</t>
  </si>
  <si>
    <t>д №ФР-430 от 13.11.2019 с ООО "Фабрика рекламы"</t>
  </si>
  <si>
    <t>ДС о расторжении №2 от 31.10.2019</t>
  </si>
  <si>
    <t>Изготовление журналов, личная карточка</t>
  </si>
  <si>
    <t>д №223 от 26.11.2019 с ИП Почетный А.Г.</t>
  </si>
  <si>
    <t>на 29 ноября 2019 года</t>
  </si>
  <si>
    <t>162</t>
  </si>
  <si>
    <t xml:space="preserve">Прочие работы, услуги            </t>
  </si>
  <si>
    <t>д №26/19 от 26.11.2019 с ИП Бояринцев В.В.</t>
  </si>
  <si>
    <t>Участие в семинаре 1С-отчетность</t>
  </si>
  <si>
    <t>д №2068 от 28.11.2019 с ООО "ЛВС"</t>
  </si>
  <si>
    <t>медосмотр</t>
  </si>
  <si>
    <t>д №ПО19- от 26.11.2019 с ООО "Медикал Групп"</t>
  </si>
  <si>
    <t>на 06 декабря 2019 года</t>
  </si>
  <si>
    <t>не вкл.</t>
  </si>
  <si>
    <t>замена 6 аккумуляторных батарей в системе АПС</t>
  </si>
  <si>
    <t>д №3519-К от 09.12.2019 с ИП Кравченко П.Н.</t>
  </si>
  <si>
    <t>ДС о расторжении от 30.11.2019</t>
  </si>
  <si>
    <t>Приобретение мед.оборудования</t>
  </si>
  <si>
    <t>д №04/11 от 04.12.2019 с ООО "Салюсмед+"</t>
  </si>
  <si>
    <t>на 16 декабря 2019 года</t>
  </si>
  <si>
    <t>мусорные баки</t>
  </si>
  <si>
    <t>приобретение вешалок напольных для гардероба</t>
  </si>
  <si>
    <t>раскладушки</t>
  </si>
  <si>
    <t>Стойка для акустической системы</t>
  </si>
  <si>
    <t>д №10/12 от 16.12.2019 с ИП Кемпайнен Е.В.</t>
  </si>
  <si>
    <t>МФУ принтер</t>
  </si>
  <si>
    <t>д №10/12 от 17.12.2019 с ООО "Компас"</t>
  </si>
  <si>
    <t>д №4374ЮК-3/12-19 от 16.12.2019 с АО "УК по обращению с отходами в ЛО"</t>
  </si>
  <si>
    <t>на 23 декабря 2019 года</t>
  </si>
  <si>
    <t>Зам. председателя Комитета образования администрации                                                                            Бокситогорского муниципального района Ленинградской области</t>
  </si>
  <si>
    <t>"23" декабря 2019г.__________________Е.В. Гречнёвкина</t>
  </si>
  <si>
    <t>изготовление ПСД на монтаж системы противодымной  вентиляции в подвальном помещении</t>
  </si>
  <si>
    <t>д №09/10 от 10.12.2019 с ООО "ЭКСНОР"</t>
  </si>
  <si>
    <t>Мебель</t>
  </si>
  <si>
    <t>д №24-19 от 23.12.2019 с ООО "М-Трэйд"</t>
  </si>
  <si>
    <t>до 600 тыс.руб.</t>
  </si>
  <si>
    <t>до 300 тыс. руб.</t>
  </si>
  <si>
    <t>Ест. Монополия (Услуги связи,интернет аб.плата Сан.эп.стан. - смывы, почта - переводы)</t>
  </si>
  <si>
    <t>п.п.9 ч.1 ст.93</t>
  </si>
  <si>
    <t>Единственный поставщик</t>
  </si>
  <si>
    <t>Иные Конкурсные процедуры (аукционы+конкурсы+и др</t>
  </si>
  <si>
    <t>для субъект.мал.предринимательства (РФ)</t>
  </si>
  <si>
    <t>для субъект.мал.предринимательства (ЛО)</t>
  </si>
  <si>
    <t>д №23/19 от 23.12.2019 с ИП Мурашева Т.И.</t>
  </si>
  <si>
    <t>д №1812/1 от 20.12.2019 с ИП Жидкова Н.А.</t>
  </si>
  <si>
    <t>шкаф для хоз.нужд</t>
  </si>
  <si>
    <t>д №26-19 от 23.12.2019 с ООО "М-Трэйд"</t>
  </si>
  <si>
    <t>д №4972 от 20.12.2019 с ООО "Экофирма"</t>
  </si>
  <si>
    <t>всего конкурентных процедур</t>
  </si>
  <si>
    <t>д №23/19 от 23.12.2019 с ООО "ТД Марс"</t>
  </si>
  <si>
    <t>договор по пит с 01.12.19 - 30.12.19</t>
  </si>
  <si>
    <t>краска</t>
  </si>
  <si>
    <t>д №34 от 20.12.2019 с ИП Бояренцев В.В.</t>
  </si>
  <si>
    <t>запрос котировок в электронной форме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</si>
</sst>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dd/mm/yy;@"/>
    <numFmt numFmtId="167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59"/>
      <name val="Arial Cyr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6"/>
      <name val="Times New Roman"/>
      <family val="1"/>
    </font>
    <font>
      <sz val="11"/>
      <color indexed="5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59"/>
      <name val="Arial Cyr"/>
      <family val="0"/>
    </font>
    <font>
      <b/>
      <sz val="8"/>
      <name val="Arial Cyr"/>
      <family val="0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0" fontId="22" fillId="11" borderId="10" xfId="0" applyFont="1" applyFill="1" applyBorder="1" applyAlignment="1">
      <alignment horizontal="left"/>
    </xf>
    <xf numFmtId="49" fontId="22" fillId="11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2" fontId="21" fillId="0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vertical="center"/>
    </xf>
    <xf numFmtId="1" fontId="21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/>
    </xf>
    <xf numFmtId="49" fontId="24" fillId="11" borderId="10" xfId="0" applyNumberFormat="1" applyFont="1" applyFill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wrapText="1"/>
    </xf>
    <xf numFmtId="0" fontId="22" fillId="0" borderId="14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wrapText="1"/>
    </xf>
    <xf numFmtId="49" fontId="22" fillId="3" borderId="10" xfId="0" applyNumberFormat="1" applyFont="1" applyFill="1" applyBorder="1" applyAlignment="1">
      <alignment horizontal="center"/>
    </xf>
    <xf numFmtId="49" fontId="24" fillId="3" borderId="10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wrapText="1"/>
    </xf>
    <xf numFmtId="2" fontId="22" fillId="11" borderId="1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2" fillId="24" borderId="14" xfId="0" applyNumberFormat="1" applyFont="1" applyFill="1" applyBorder="1" applyAlignment="1">
      <alignment horizontal="center"/>
    </xf>
    <xf numFmtId="49" fontId="21" fillId="25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wrapText="1"/>
    </xf>
    <xf numFmtId="49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/>
    </xf>
    <xf numFmtId="0" fontId="22" fillId="25" borderId="14" xfId="0" applyFont="1" applyFill="1" applyBorder="1" applyAlignment="1">
      <alignment horizontal="left" vertical="center" wrapText="1"/>
    </xf>
    <xf numFmtId="49" fontId="21" fillId="25" borderId="14" xfId="0" applyNumberFormat="1" applyFont="1" applyFill="1" applyBorder="1" applyAlignment="1">
      <alignment horizontal="center"/>
    </xf>
    <xf numFmtId="1" fontId="21" fillId="25" borderId="10" xfId="0" applyNumberFormat="1" applyFont="1" applyFill="1" applyBorder="1" applyAlignment="1">
      <alignment horizontal="center"/>
    </xf>
    <xf numFmtId="49" fontId="21" fillId="25" borderId="10" xfId="0" applyNumberFormat="1" applyFont="1" applyFill="1" applyBorder="1" applyAlignment="1">
      <alignment horizontal="left"/>
    </xf>
    <xf numFmtId="0" fontId="21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vertical="center" wrapText="1"/>
    </xf>
    <xf numFmtId="49" fontId="21" fillId="25" borderId="10" xfId="0" applyNumberFormat="1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 applyProtection="1">
      <alignment horizontal="right" vertical="top" wrapText="1"/>
      <protection/>
    </xf>
    <xf numFmtId="3" fontId="23" fillId="8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/>
    </xf>
    <xf numFmtId="0" fontId="21" fillId="0" borderId="15" xfId="0" applyFont="1" applyFill="1" applyBorder="1" applyAlignment="1">
      <alignment wrapText="1"/>
    </xf>
    <xf numFmtId="0" fontId="21" fillId="0" borderId="13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2" fillId="17" borderId="10" xfId="0" applyFont="1" applyFill="1" applyBorder="1" applyAlignment="1">
      <alignment horizontal="right"/>
    </xf>
    <xf numFmtId="0" fontId="24" fillId="11" borderId="10" xfId="0" applyFont="1" applyFill="1" applyBorder="1" applyAlignment="1">
      <alignment horizontal="left" wrapText="1"/>
    </xf>
    <xf numFmtId="2" fontId="22" fillId="24" borderId="10" xfId="0" applyNumberFormat="1" applyFont="1" applyFill="1" applyBorder="1" applyAlignment="1">
      <alignment horizontal="right"/>
    </xf>
    <xf numFmtId="2" fontId="22" fillId="24" borderId="10" xfId="0" applyNumberFormat="1" applyFont="1" applyFill="1" applyBorder="1" applyAlignment="1">
      <alignment horizontal="center"/>
    </xf>
    <xf numFmtId="2" fontId="21" fillId="0" borderId="10" xfId="62" applyNumberFormat="1" applyFont="1" applyFill="1" applyBorder="1" applyAlignment="1">
      <alignment horizontal="right" wrapText="1"/>
    </xf>
    <xf numFmtId="2" fontId="21" fillId="25" borderId="10" xfId="0" applyNumberFormat="1" applyFont="1" applyFill="1" applyBorder="1" applyAlignment="1">
      <alignment horizontal="right"/>
    </xf>
    <xf numFmtId="2" fontId="21" fillId="25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 applyProtection="1">
      <alignment horizontal="right" vertical="center" wrapText="1"/>
      <protection/>
    </xf>
    <xf numFmtId="2" fontId="21" fillId="25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 applyProtection="1">
      <alignment horizontal="right" vertical="center" wrapText="1"/>
      <protection/>
    </xf>
    <xf numFmtId="2" fontId="21" fillId="0" borderId="13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right"/>
    </xf>
    <xf numFmtId="2" fontId="21" fillId="24" borderId="10" xfId="0" applyNumberFormat="1" applyFont="1" applyFill="1" applyBorder="1" applyAlignment="1">
      <alignment horizontal="right"/>
    </xf>
    <xf numFmtId="2" fontId="21" fillId="24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2" fontId="21" fillId="0" borderId="16" xfId="0" applyNumberFormat="1" applyFont="1" applyFill="1" applyBorder="1" applyAlignment="1">
      <alignment horizontal="right"/>
    </xf>
    <xf numFmtId="2" fontId="21" fillId="25" borderId="14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 vertical="center"/>
    </xf>
    <xf numFmtId="2" fontId="21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right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>
      <alignment vertical="center"/>
    </xf>
    <xf numFmtId="2" fontId="26" fillId="0" borderId="10" xfId="62" applyNumberFormat="1" applyFont="1" applyFill="1" applyBorder="1" applyAlignment="1">
      <alignment horizontal="right" wrapText="1"/>
    </xf>
    <xf numFmtId="2" fontId="21" fillId="25" borderId="0" xfId="0" applyNumberFormat="1" applyFont="1" applyFill="1" applyAlignment="1">
      <alignment horizontal="left"/>
    </xf>
    <xf numFmtId="165" fontId="22" fillId="24" borderId="10" xfId="0" applyNumberFormat="1" applyFont="1" applyFill="1" applyBorder="1" applyAlignment="1">
      <alignment horizontal="right"/>
    </xf>
    <xf numFmtId="165" fontId="22" fillId="24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right"/>
    </xf>
    <xf numFmtId="165" fontId="21" fillId="25" borderId="10" xfId="0" applyNumberFormat="1" applyFont="1" applyFill="1" applyBorder="1" applyAlignment="1">
      <alignment horizontal="right"/>
    </xf>
    <xf numFmtId="165" fontId="21" fillId="25" borderId="10" xfId="0" applyNumberFormat="1" applyFont="1" applyFill="1" applyBorder="1" applyAlignment="1">
      <alignment horizontal="right" vertical="center"/>
    </xf>
    <xf numFmtId="165" fontId="21" fillId="0" borderId="10" xfId="0" applyNumberFormat="1" applyFont="1" applyFill="1" applyBorder="1" applyAlignment="1">
      <alignment horizontal="center"/>
    </xf>
    <xf numFmtId="165" fontId="22" fillId="11" borderId="10" xfId="0" applyNumberFormat="1" applyFont="1" applyFill="1" applyBorder="1" applyAlignment="1">
      <alignment horizontal="right"/>
    </xf>
    <xf numFmtId="165" fontId="21" fillId="24" borderId="10" xfId="0" applyNumberFormat="1" applyFont="1" applyFill="1" applyBorder="1" applyAlignment="1">
      <alignment horizontal="right"/>
    </xf>
    <xf numFmtId="165" fontId="22" fillId="3" borderId="10" xfId="0" applyNumberFormat="1" applyFont="1" applyFill="1" applyBorder="1" applyAlignment="1">
      <alignment horizontal="right"/>
    </xf>
    <xf numFmtId="165" fontId="25" fillId="24" borderId="10" xfId="0" applyNumberFormat="1" applyFont="1" applyFill="1" applyBorder="1" applyAlignment="1">
      <alignment horizontal="right"/>
    </xf>
    <xf numFmtId="165" fontId="22" fillId="11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1" fillId="3" borderId="10" xfId="0" applyNumberFormat="1" applyFont="1" applyFill="1" applyBorder="1" applyAlignment="1">
      <alignment horizontal="right"/>
    </xf>
    <xf numFmtId="165" fontId="21" fillId="3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23" fillId="26" borderId="17" xfId="0" applyFont="1" applyFill="1" applyBorder="1" applyAlignment="1">
      <alignment wrapText="1"/>
    </xf>
    <xf numFmtId="3" fontId="28" fillId="0" borderId="10" xfId="0" applyNumberFormat="1" applyFont="1" applyFill="1" applyBorder="1" applyAlignment="1">
      <alignment horizontal="left" wrapText="1"/>
    </xf>
    <xf numFmtId="3" fontId="28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vertical="center"/>
    </xf>
    <xf numFmtId="2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 applyProtection="1">
      <alignment horizontal="left" vertical="top" wrapText="1"/>
      <protection/>
    </xf>
    <xf numFmtId="4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/>
    </xf>
    <xf numFmtId="0" fontId="28" fillId="0" borderId="11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center"/>
    </xf>
    <xf numFmtId="4" fontId="28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54" applyNumberFormat="1" applyFont="1" applyFill="1" applyBorder="1" applyAlignment="1">
      <alignment horizontal="center" vertical="center" wrapText="1"/>
      <protection/>
    </xf>
    <xf numFmtId="3" fontId="28" fillId="0" borderId="10" xfId="54" applyNumberFormat="1" applyFont="1" applyFill="1" applyBorder="1" applyAlignment="1">
      <alignment horizontal="right" vertical="center" wrapText="1"/>
      <protection/>
    </xf>
    <xf numFmtId="0" fontId="28" fillId="0" borderId="10" xfId="0" applyFont="1" applyFill="1" applyBorder="1" applyAlignment="1">
      <alignment horizontal="left"/>
    </xf>
    <xf numFmtId="3" fontId="29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wrapText="1"/>
    </xf>
    <xf numFmtId="4" fontId="28" fillId="0" borderId="10" xfId="0" applyNumberFormat="1" applyFont="1" applyBorder="1" applyAlignment="1">
      <alignment horizontal="right" wrapText="1"/>
    </xf>
    <xf numFmtId="4" fontId="28" fillId="0" borderId="10" xfId="0" applyNumberFormat="1" applyFont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right" wrapText="1"/>
    </xf>
    <xf numFmtId="2" fontId="28" fillId="0" borderId="15" xfId="0" applyNumberFormat="1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2" fontId="23" fillId="0" borderId="18" xfId="0" applyNumberFormat="1" applyFont="1" applyFill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3" fontId="23" fillId="27" borderId="10" xfId="0" applyNumberFormat="1" applyFont="1" applyFill="1" applyBorder="1" applyAlignment="1">
      <alignment vertical="center" wrapText="1"/>
    </xf>
    <xf numFmtId="4" fontId="23" fillId="27" borderId="13" xfId="0" applyNumberFormat="1" applyFont="1" applyFill="1" applyBorder="1" applyAlignment="1">
      <alignment wrapText="1"/>
    </xf>
    <xf numFmtId="3" fontId="23" fillId="27" borderId="13" xfId="0" applyNumberFormat="1" applyFont="1" applyFill="1" applyBorder="1" applyAlignment="1">
      <alignment horizontal="right" wrapText="1"/>
    </xf>
    <xf numFmtId="3" fontId="23" fillId="27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>
      <alignment horizontal="right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2" fontId="28" fillId="0" borderId="20" xfId="0" applyNumberFormat="1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0" xfId="62" applyNumberFormat="1" applyFont="1" applyFill="1" applyBorder="1" applyAlignment="1">
      <alignment horizontal="right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3" fontId="28" fillId="25" borderId="13" xfId="0" applyNumberFormat="1" applyFont="1" applyFill="1" applyBorder="1" applyAlignment="1">
      <alignment horizontal="center" wrapText="1"/>
    </xf>
    <xf numFmtId="3" fontId="28" fillId="25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43" fontId="28" fillId="0" borderId="0" xfId="0" applyNumberFormat="1" applyFont="1" applyFill="1" applyAlignment="1">
      <alignment/>
    </xf>
    <xf numFmtId="3" fontId="28" fillId="25" borderId="10" xfId="0" applyNumberFormat="1" applyFont="1" applyFill="1" applyBorder="1" applyAlignment="1">
      <alignment horizontal="right" wrapText="1"/>
    </xf>
    <xf numFmtId="3" fontId="28" fillId="25" borderId="10" xfId="0" applyNumberFormat="1" applyFont="1" applyFill="1" applyBorder="1" applyAlignment="1">
      <alignment horizontal="center" wrapText="1"/>
    </xf>
    <xf numFmtId="2" fontId="28" fillId="0" borderId="13" xfId="62" applyNumberFormat="1" applyFont="1" applyFill="1" applyBorder="1" applyAlignment="1">
      <alignment wrapText="1"/>
    </xf>
    <xf numFmtId="0" fontId="28" fillId="0" borderId="13" xfId="0" applyFont="1" applyFill="1" applyBorder="1" applyAlignment="1">
      <alignment wrapText="1"/>
    </xf>
    <xf numFmtId="2" fontId="28" fillId="0" borderId="15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wrapText="1"/>
    </xf>
    <xf numFmtId="4" fontId="28" fillId="3" borderId="10" xfId="0" applyNumberFormat="1" applyFont="1" applyFill="1" applyBorder="1" applyAlignment="1">
      <alignment/>
    </xf>
    <xf numFmtId="4" fontId="28" fillId="3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3" fontId="28" fillId="3" borderId="10" xfId="0" applyNumberFormat="1" applyFont="1" applyFill="1" applyBorder="1" applyAlignment="1">
      <alignment horizontal="center" wrapText="1"/>
    </xf>
    <xf numFmtId="3" fontId="28" fillId="3" borderId="11" xfId="0" applyNumberFormat="1" applyFont="1" applyFill="1" applyBorder="1" applyAlignment="1">
      <alignment horizontal="center"/>
    </xf>
    <xf numFmtId="4" fontId="28" fillId="3" borderId="21" xfId="0" applyNumberFormat="1" applyFont="1" applyFill="1" applyBorder="1" applyAlignment="1">
      <alignment wrapText="1"/>
    </xf>
    <xf numFmtId="4" fontId="23" fillId="3" borderId="10" xfId="0" applyNumberFormat="1" applyFont="1" applyFill="1" applyBorder="1" applyAlignment="1">
      <alignment wrapText="1"/>
    </xf>
    <xf numFmtId="0" fontId="28" fillId="0" borderId="13" xfId="0" applyFont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43" fontId="28" fillId="25" borderId="0" xfId="62" applyFont="1" applyFill="1" applyBorder="1" applyAlignment="1">
      <alignment horizontal="right" wrapText="1"/>
    </xf>
    <xf numFmtId="0" fontId="28" fillId="25" borderId="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left" wrapText="1"/>
    </xf>
    <xf numFmtId="4" fontId="28" fillId="0" borderId="13" xfId="0" applyNumberFormat="1" applyFont="1" applyFill="1" applyBorder="1" applyAlignment="1">
      <alignment horizontal="right" wrapText="1"/>
    </xf>
    <xf numFmtId="3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0" fontId="28" fillId="25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43" fontId="28" fillId="19" borderId="0" xfId="62" applyFont="1" applyFill="1" applyBorder="1" applyAlignment="1">
      <alignment horizontal="right" wrapText="1"/>
    </xf>
    <xf numFmtId="0" fontId="28" fillId="19" borderId="0" xfId="0" applyFont="1" applyFill="1" applyBorder="1" applyAlignment="1">
      <alignment horizontal="left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wrapText="1"/>
    </xf>
    <xf numFmtId="0" fontId="28" fillId="18" borderId="10" xfId="0" applyFont="1" applyFill="1" applyBorder="1" applyAlignment="1">
      <alignment horizontal="right" wrapText="1"/>
    </xf>
    <xf numFmtId="0" fontId="28" fillId="18" borderId="10" xfId="0" applyFont="1" applyFill="1" applyBorder="1" applyAlignment="1">
      <alignment/>
    </xf>
    <xf numFmtId="0" fontId="28" fillId="18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25" borderId="0" xfId="0" applyFont="1" applyFill="1" applyBorder="1" applyAlignment="1">
      <alignment/>
    </xf>
    <xf numFmtId="49" fontId="28" fillId="25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wrapText="1"/>
    </xf>
    <xf numFmtId="4" fontId="28" fillId="0" borderId="12" xfId="0" applyNumberFormat="1" applyFont="1" applyFill="1" applyBorder="1" applyAlignment="1">
      <alignment horizontal="right" wrapText="1"/>
    </xf>
    <xf numFmtId="0" fontId="28" fillId="0" borderId="12" xfId="0" applyFont="1" applyFill="1" applyBorder="1" applyAlignment="1">
      <alignment/>
    </xf>
    <xf numFmtId="0" fontId="28" fillId="0" borderId="11" xfId="0" applyFont="1" applyBorder="1" applyAlignment="1">
      <alignment wrapText="1"/>
    </xf>
    <xf numFmtId="49" fontId="28" fillId="0" borderId="10" xfId="0" applyNumberFormat="1" applyFont="1" applyBorder="1" applyAlignment="1">
      <alignment/>
    </xf>
    <xf numFmtId="9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right"/>
    </xf>
    <xf numFmtId="4" fontId="28" fillId="24" borderId="10" xfId="0" applyNumberFormat="1" applyFont="1" applyFill="1" applyBorder="1" applyAlignment="1">
      <alignment/>
    </xf>
    <xf numFmtId="2" fontId="28" fillId="24" borderId="10" xfId="0" applyNumberFormat="1" applyFont="1" applyFill="1" applyBorder="1" applyAlignment="1">
      <alignment/>
    </xf>
    <xf numFmtId="4" fontId="28" fillId="0" borderId="0" xfId="0" applyNumberFormat="1" applyFont="1" applyAlignment="1">
      <alignment horizontal="left" wrapText="1"/>
    </xf>
    <xf numFmtId="0" fontId="28" fillId="0" borderId="10" xfId="0" applyFont="1" applyBorder="1" applyAlignment="1">
      <alignment horizontal="right"/>
    </xf>
    <xf numFmtId="43" fontId="28" fillId="18" borderId="10" xfId="62" applyFont="1" applyFill="1" applyBorder="1" applyAlignment="1">
      <alignment/>
    </xf>
    <xf numFmtId="0" fontId="28" fillId="19" borderId="10" xfId="0" applyFont="1" applyFill="1" applyBorder="1" applyAlignment="1">
      <alignment/>
    </xf>
    <xf numFmtId="43" fontId="28" fillId="19" borderId="10" xfId="62" applyFont="1" applyFill="1" applyBorder="1" applyAlignment="1">
      <alignment/>
    </xf>
    <xf numFmtId="0" fontId="28" fillId="21" borderId="10" xfId="0" applyFont="1" applyFill="1" applyBorder="1" applyAlignment="1">
      <alignment/>
    </xf>
    <xf numFmtId="43" fontId="28" fillId="21" borderId="10" xfId="62" applyFont="1" applyFill="1" applyBorder="1" applyAlignment="1">
      <alignment/>
    </xf>
    <xf numFmtId="0" fontId="28" fillId="0" borderId="0" xfId="0" applyFont="1" applyFill="1" applyAlignment="1">
      <alignment horizontal="left"/>
    </xf>
    <xf numFmtId="3" fontId="28" fillId="0" borderId="10" xfId="54" applyNumberFormat="1" applyFont="1" applyFill="1" applyBorder="1" applyAlignment="1">
      <alignment horizontal="left" vertical="center" wrapText="1"/>
      <protection/>
    </xf>
    <xf numFmtId="0" fontId="23" fillId="8" borderId="14" xfId="0" applyNumberFormat="1" applyFont="1" applyFill="1" applyBorder="1" applyAlignment="1">
      <alignment horizontal="center" vertical="center" wrapText="1"/>
    </xf>
    <xf numFmtId="0" fontId="23" fillId="8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/>
    </xf>
    <xf numFmtId="4" fontId="23" fillId="8" borderId="10" xfId="0" applyNumberFormat="1" applyFont="1" applyFill="1" applyBorder="1" applyAlignment="1">
      <alignment horizontal="center" vertical="center" wrapText="1"/>
    </xf>
    <xf numFmtId="4" fontId="28" fillId="8" borderId="10" xfId="0" applyNumberFormat="1" applyFont="1" applyFill="1" applyBorder="1" applyAlignment="1">
      <alignment horizontal="right" wrapText="1"/>
    </xf>
    <xf numFmtId="4" fontId="31" fillId="8" borderId="10" xfId="0" applyNumberFormat="1" applyFont="1" applyFill="1" applyBorder="1" applyAlignment="1">
      <alignment horizontal="right" wrapText="1"/>
    </xf>
    <xf numFmtId="0" fontId="23" fillId="8" borderId="10" xfId="0" applyFont="1" applyFill="1" applyBorder="1" applyAlignment="1">
      <alignment horizontal="right" vertical="center"/>
    </xf>
    <xf numFmtId="0" fontId="23" fillId="8" borderId="10" xfId="0" applyFont="1" applyFill="1" applyBorder="1" applyAlignment="1">
      <alignment horizontal="right"/>
    </xf>
    <xf numFmtId="0" fontId="27" fillId="4" borderId="16" xfId="0" applyFont="1" applyFill="1" applyBorder="1" applyAlignment="1">
      <alignment wrapText="1"/>
    </xf>
    <xf numFmtId="4" fontId="28" fillId="4" borderId="10" xfId="0" applyNumberFormat="1" applyFont="1" applyFill="1" applyBorder="1" applyAlignment="1">
      <alignment/>
    </xf>
    <xf numFmtId="0" fontId="28" fillId="4" borderId="10" xfId="0" applyFont="1" applyFill="1" applyBorder="1" applyAlignment="1">
      <alignment/>
    </xf>
    <xf numFmtId="0" fontId="28" fillId="4" borderId="10" xfId="0" applyFont="1" applyFill="1" applyBorder="1" applyAlignment="1">
      <alignment horizontal="left" wrapText="1"/>
    </xf>
    <xf numFmtId="2" fontId="23" fillId="4" borderId="14" xfId="0" applyNumberFormat="1" applyFont="1" applyFill="1" applyBorder="1" applyAlignment="1">
      <alignment horizontal="right" wrapText="1"/>
    </xf>
    <xf numFmtId="0" fontId="28" fillId="4" borderId="10" xfId="0" applyFont="1" applyFill="1" applyBorder="1" applyAlignment="1">
      <alignment horizontal="center"/>
    </xf>
    <xf numFmtId="2" fontId="23" fillId="4" borderId="13" xfId="0" applyNumberFormat="1" applyFont="1" applyFill="1" applyBorder="1" applyAlignment="1">
      <alignment horizontal="right" wrapText="1"/>
    </xf>
    <xf numFmtId="2" fontId="23" fillId="4" borderId="10" xfId="0" applyNumberFormat="1" applyFont="1" applyFill="1" applyBorder="1" applyAlignment="1">
      <alignment wrapText="1"/>
    </xf>
    <xf numFmtId="2" fontId="23" fillId="4" borderId="14" xfId="0" applyNumberFormat="1" applyFont="1" applyFill="1" applyBorder="1" applyAlignment="1">
      <alignment horizontal="right" vertical="center" wrapText="1"/>
    </xf>
    <xf numFmtId="0" fontId="28" fillId="4" borderId="13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2" fontId="28" fillId="24" borderId="15" xfId="0" applyNumberFormat="1" applyFont="1" applyFill="1" applyBorder="1" applyAlignment="1">
      <alignment horizontal="right" wrapText="1"/>
    </xf>
    <xf numFmtId="2" fontId="28" fillId="24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2" fontId="28" fillId="27" borderId="10" xfId="0" applyNumberFormat="1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8" borderId="10" xfId="0" applyNumberFormat="1" applyFont="1" applyFill="1" applyBorder="1" applyAlignment="1">
      <alignment horizontal="right"/>
    </xf>
    <xf numFmtId="2" fontId="21" fillId="8" borderId="0" xfId="0" applyNumberFormat="1" applyFont="1" applyFill="1" applyAlignment="1">
      <alignment horizontal="right"/>
    </xf>
    <xf numFmtId="0" fontId="21" fillId="8" borderId="10" xfId="0" applyFont="1" applyFill="1" applyBorder="1" applyAlignment="1">
      <alignment wrapText="1"/>
    </xf>
    <xf numFmtId="0" fontId="22" fillId="8" borderId="14" xfId="0" applyFont="1" applyFill="1" applyBorder="1" applyAlignment="1">
      <alignment horizontal="left" vertical="center" wrapText="1"/>
    </xf>
    <xf numFmtId="49" fontId="21" fillId="8" borderId="10" xfId="0" applyNumberFormat="1" applyFont="1" applyFill="1" applyBorder="1" applyAlignment="1">
      <alignment horizontal="center"/>
    </xf>
    <xf numFmtId="165" fontId="21" fillId="8" borderId="10" xfId="0" applyNumberFormat="1" applyFont="1" applyFill="1" applyBorder="1" applyAlignment="1">
      <alignment horizontal="right"/>
    </xf>
    <xf numFmtId="2" fontId="21" fillId="8" borderId="10" xfId="0" applyNumberFormat="1" applyFont="1" applyFill="1" applyBorder="1" applyAlignment="1">
      <alignment horizontal="center" vertical="center"/>
    </xf>
    <xf numFmtId="2" fontId="21" fillId="8" borderId="10" xfId="0" applyNumberFormat="1" applyFont="1" applyFill="1" applyBorder="1" applyAlignment="1">
      <alignment horizontal="right" vertical="center"/>
    </xf>
    <xf numFmtId="49" fontId="21" fillId="8" borderId="14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right" wrapText="1"/>
    </xf>
    <xf numFmtId="0" fontId="21" fillId="25" borderId="11" xfId="0" applyFont="1" applyFill="1" applyBorder="1" applyAlignment="1">
      <alignment wrapText="1"/>
    </xf>
    <xf numFmtId="49" fontId="21" fillId="25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3" fontId="23" fillId="4" borderId="10" xfId="0" applyNumberFormat="1" applyFont="1" applyFill="1" applyBorder="1" applyAlignment="1">
      <alignment wrapText="1"/>
    </xf>
    <xf numFmtId="3" fontId="23" fillId="4" borderId="10" xfId="0" applyNumberFormat="1" applyFont="1" applyFill="1" applyBorder="1" applyAlignment="1">
      <alignment horizontal="right" wrapText="1"/>
    </xf>
    <xf numFmtId="3" fontId="23" fillId="4" borderId="10" xfId="0" applyNumberFormat="1" applyFont="1" applyFill="1" applyBorder="1" applyAlignment="1">
      <alignment horizontal="center" wrapText="1"/>
    </xf>
    <xf numFmtId="4" fontId="23" fillId="4" borderId="15" xfId="0" applyNumberFormat="1" applyFont="1" applyFill="1" applyBorder="1" applyAlignment="1">
      <alignment wrapText="1"/>
    </xf>
    <xf numFmtId="4" fontId="23" fillId="4" borderId="10" xfId="0" applyNumberFormat="1" applyFont="1" applyFill="1" applyBorder="1" applyAlignment="1">
      <alignment horizontal="center"/>
    </xf>
    <xf numFmtId="3" fontId="23" fillId="4" borderId="19" xfId="0" applyNumberFormat="1" applyFont="1" applyFill="1" applyBorder="1" applyAlignment="1">
      <alignment horizontal="center" wrapText="1"/>
    </xf>
    <xf numFmtId="3" fontId="23" fillId="4" borderId="13" xfId="0" applyNumberFormat="1" applyFont="1" applyFill="1" applyBorder="1" applyAlignment="1">
      <alignment horizontal="center"/>
    </xf>
    <xf numFmtId="3" fontId="23" fillId="4" borderId="13" xfId="0" applyNumberFormat="1" applyFont="1" applyFill="1" applyBorder="1" applyAlignment="1">
      <alignment horizontal="center" wrapText="1"/>
    </xf>
    <xf numFmtId="2" fontId="28" fillId="24" borderId="10" xfId="0" applyNumberFormat="1" applyFont="1" applyFill="1" applyBorder="1" applyAlignment="1">
      <alignment horizontal="right" wrapText="1"/>
    </xf>
    <xf numFmtId="0" fontId="28" fillId="26" borderId="22" xfId="0" applyFont="1" applyFill="1" applyBorder="1" applyAlignment="1">
      <alignment wrapText="1"/>
    </xf>
    <xf numFmtId="0" fontId="28" fillId="26" borderId="22" xfId="0" applyFont="1" applyFill="1" applyBorder="1" applyAlignment="1">
      <alignment horizontal="right" wrapText="1"/>
    </xf>
    <xf numFmtId="0" fontId="28" fillId="26" borderId="22" xfId="0" applyFont="1" applyFill="1" applyBorder="1" applyAlignment="1">
      <alignment horizontal="center" wrapText="1"/>
    </xf>
    <xf numFmtId="165" fontId="23" fillId="26" borderId="23" xfId="0" applyNumberFormat="1" applyFont="1" applyFill="1" applyBorder="1" applyAlignment="1">
      <alignment horizontal="right" wrapText="1"/>
    </xf>
    <xf numFmtId="4" fontId="31" fillId="25" borderId="10" xfId="0" applyNumberFormat="1" applyFont="1" applyFill="1" applyBorder="1" applyAlignment="1">
      <alignment horizontal="right" wrapText="1"/>
    </xf>
    <xf numFmtId="4" fontId="28" fillId="25" borderId="10" xfId="0" applyNumberFormat="1" applyFont="1" applyFill="1" applyBorder="1" applyAlignment="1">
      <alignment horizontal="right" wrapText="1"/>
    </xf>
    <xf numFmtId="2" fontId="28" fillId="24" borderId="20" xfId="0" applyNumberFormat="1" applyFont="1" applyFill="1" applyBorder="1" applyAlignment="1">
      <alignment horizontal="right" wrapText="1"/>
    </xf>
    <xf numFmtId="0" fontId="0" fillId="11" borderId="10" xfId="0" applyFill="1" applyBorder="1" applyAlignment="1">
      <alignment/>
    </xf>
    <xf numFmtId="43" fontId="28" fillId="11" borderId="10" xfId="62" applyFont="1" applyFill="1" applyBorder="1" applyAlignment="1">
      <alignment/>
    </xf>
    <xf numFmtId="2" fontId="21" fillId="8" borderId="16" xfId="0" applyNumberFormat="1" applyFont="1" applyFill="1" applyBorder="1" applyAlignment="1">
      <alignment horizontal="right"/>
    </xf>
    <xf numFmtId="1" fontId="21" fillId="8" borderId="10" xfId="0" applyNumberFormat="1" applyFont="1" applyFill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 vertical="center"/>
    </xf>
    <xf numFmtId="49" fontId="21" fillId="8" borderId="11" xfId="0" applyNumberFormat="1" applyFont="1" applyFill="1" applyBorder="1" applyAlignment="1">
      <alignment horizontal="center" vertical="center"/>
    </xf>
    <xf numFmtId="2" fontId="28" fillId="27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/>
    </xf>
    <xf numFmtId="3" fontId="28" fillId="0" borderId="10" xfId="0" applyNumberFormat="1" applyFont="1" applyBorder="1" applyAlignment="1">
      <alignment horizontal="center" wrapText="1"/>
    </xf>
    <xf numFmtId="2" fontId="28" fillId="25" borderId="10" xfId="0" applyNumberFormat="1" applyFont="1" applyFill="1" applyBorder="1" applyAlignment="1">
      <alignment horizontal="right"/>
    </xf>
    <xf numFmtId="0" fontId="20" fillId="25" borderId="10" xfId="0" applyFont="1" applyFill="1" applyBorder="1" applyAlignment="1">
      <alignment/>
    </xf>
    <xf numFmtId="0" fontId="28" fillId="25" borderId="10" xfId="0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wrapText="1"/>
    </xf>
    <xf numFmtId="2" fontId="21" fillId="8" borderId="10" xfId="0" applyNumberFormat="1" applyFont="1" applyFill="1" applyBorder="1" applyAlignment="1" applyProtection="1">
      <alignment horizontal="right" vertical="center" wrapText="1"/>
      <protection/>
    </xf>
    <xf numFmtId="0" fontId="21" fillId="8" borderId="11" xfId="0" applyFont="1" applyFill="1" applyBorder="1" applyAlignment="1">
      <alignment wrapText="1"/>
    </xf>
    <xf numFmtId="49" fontId="21" fillId="8" borderId="11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left" vertical="center" wrapText="1"/>
    </xf>
    <xf numFmtId="2" fontId="21" fillId="0" borderId="14" xfId="0" applyNumberFormat="1" applyFont="1" applyFill="1" applyBorder="1" applyAlignment="1">
      <alignment horizontal="right"/>
    </xf>
    <xf numFmtId="2" fontId="21" fillId="16" borderId="10" xfId="0" applyNumberFormat="1" applyFont="1" applyFill="1" applyBorder="1" applyAlignment="1">
      <alignment horizontal="right"/>
    </xf>
    <xf numFmtId="2" fontId="21" fillId="16" borderId="10" xfId="0" applyNumberFormat="1" applyFont="1" applyFill="1" applyBorder="1" applyAlignment="1" applyProtection="1">
      <alignment horizontal="right" vertical="center" wrapText="1"/>
      <protection/>
    </xf>
    <xf numFmtId="0" fontId="21" fillId="8" borderId="10" xfId="0" applyFont="1" applyFill="1" applyBorder="1" applyAlignment="1">
      <alignment/>
    </xf>
    <xf numFmtId="0" fontId="21" fillId="16" borderId="10" xfId="0" applyFont="1" applyFill="1" applyBorder="1" applyAlignment="1">
      <alignment/>
    </xf>
    <xf numFmtId="2" fontId="21" fillId="16" borderId="0" xfId="0" applyNumberFormat="1" applyFont="1" applyFill="1" applyAlignment="1">
      <alignment horizontal="right"/>
    </xf>
    <xf numFmtId="0" fontId="21" fillId="25" borderId="10" xfId="0" applyFont="1" applyFill="1" applyBorder="1" applyAlignment="1">
      <alignment horizontal="center" wrapText="1"/>
    </xf>
    <xf numFmtId="0" fontId="21" fillId="8" borderId="15" xfId="0" applyFont="1" applyFill="1" applyBorder="1" applyAlignment="1">
      <alignment wrapText="1"/>
    </xf>
    <xf numFmtId="49" fontId="21" fillId="8" borderId="11" xfId="0" applyNumberFormat="1" applyFont="1" applyFill="1" applyBorder="1" applyAlignment="1">
      <alignment vertical="center"/>
    </xf>
    <xf numFmtId="49" fontId="21" fillId="8" borderId="11" xfId="0" applyNumberFormat="1" applyFont="1" applyFill="1" applyBorder="1" applyAlignment="1">
      <alignment/>
    </xf>
    <xf numFmtId="165" fontId="21" fillId="8" borderId="10" xfId="0" applyNumberFormat="1" applyFont="1" applyFill="1" applyBorder="1" applyAlignment="1">
      <alignment horizontal="center"/>
    </xf>
    <xf numFmtId="1" fontId="21" fillId="8" borderId="10" xfId="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left" vertical="center" wrapText="1"/>
    </xf>
    <xf numFmtId="2" fontId="21" fillId="8" borderId="10" xfId="0" applyNumberFormat="1" applyFont="1" applyFill="1" applyBorder="1" applyAlignment="1" applyProtection="1">
      <alignment horizontal="right" vertical="center" wrapText="1"/>
      <protection/>
    </xf>
    <xf numFmtId="2" fontId="21" fillId="0" borderId="10" xfId="0" applyNumberFormat="1" applyFont="1" applyFill="1" applyBorder="1" applyAlignment="1" applyProtection="1">
      <alignment horizontal="right" wrapText="1"/>
      <protection/>
    </xf>
    <xf numFmtId="2" fontId="21" fillId="8" borderId="10" xfId="0" applyNumberFormat="1" applyFont="1" applyFill="1" applyBorder="1" applyAlignment="1" applyProtection="1">
      <alignment horizontal="right" wrapText="1"/>
      <protection/>
    </xf>
    <xf numFmtId="49" fontId="24" fillId="8" borderId="10" xfId="0" applyNumberFormat="1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left"/>
    </xf>
    <xf numFmtId="2" fontId="21" fillId="8" borderId="10" xfId="0" applyNumberFormat="1" applyFont="1" applyFill="1" applyBorder="1" applyAlignment="1">
      <alignment vertical="center"/>
    </xf>
    <xf numFmtId="4" fontId="23" fillId="4" borderId="13" xfId="0" applyNumberFormat="1" applyFont="1" applyFill="1" applyBorder="1" applyAlignment="1">
      <alignment wrapText="1"/>
    </xf>
    <xf numFmtId="4" fontId="23" fillId="4" borderId="13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center" wrapText="1"/>
    </xf>
    <xf numFmtId="4" fontId="23" fillId="4" borderId="10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wrapText="1"/>
    </xf>
    <xf numFmtId="3" fontId="28" fillId="28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vertical="center"/>
    </xf>
    <xf numFmtId="165" fontId="21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Fill="1" applyBorder="1" applyAlignment="1" applyProtection="1">
      <alignment horizontal="right" vertical="center" wrapText="1"/>
      <protection/>
    </xf>
    <xf numFmtId="49" fontId="21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5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28" borderId="10" xfId="0" applyNumberFormat="1" applyFont="1" applyFill="1" applyBorder="1" applyAlignment="1">
      <alignment/>
    </xf>
    <xf numFmtId="2" fontId="21" fillId="28" borderId="10" xfId="0" applyNumberFormat="1" applyFont="1" applyFill="1" applyBorder="1" applyAlignment="1">
      <alignment horizontal="right"/>
    </xf>
    <xf numFmtId="49" fontId="21" fillId="28" borderId="10" xfId="0" applyNumberFormat="1" applyFont="1" applyFill="1" applyBorder="1" applyAlignment="1">
      <alignment horizontal="center"/>
    </xf>
    <xf numFmtId="165" fontId="21" fillId="28" borderId="10" xfId="0" applyNumberFormat="1" applyFont="1" applyFill="1" applyBorder="1" applyAlignment="1">
      <alignment horizontal="right"/>
    </xf>
    <xf numFmtId="2" fontId="21" fillId="28" borderId="10" xfId="0" applyNumberFormat="1" applyFont="1" applyFill="1" applyBorder="1" applyAlignment="1">
      <alignment horizontal="center" vertical="center"/>
    </xf>
    <xf numFmtId="2" fontId="26" fillId="28" borderId="10" xfId="62" applyNumberFormat="1" applyFont="1" applyFill="1" applyBorder="1" applyAlignment="1">
      <alignment horizontal="right" wrapText="1"/>
    </xf>
    <xf numFmtId="0" fontId="21" fillId="28" borderId="10" xfId="0" applyFont="1" applyFill="1" applyBorder="1" applyAlignment="1">
      <alignment horizontal="left" wrapText="1"/>
    </xf>
    <xf numFmtId="2" fontId="21" fillId="28" borderId="10" xfId="0" applyNumberFormat="1" applyFont="1" applyFill="1" applyBorder="1" applyAlignment="1">
      <alignment horizontal="center"/>
    </xf>
    <xf numFmtId="4" fontId="0" fillId="28" borderId="10" xfId="0" applyNumberForma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3" fontId="23" fillId="8" borderId="10" xfId="0" applyNumberFormat="1" applyFont="1" applyFill="1" applyBorder="1" applyAlignment="1">
      <alignment horizontal="right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left" wrapText="1"/>
    </xf>
    <xf numFmtId="49" fontId="21" fillId="0" borderId="18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right" wrapText="1"/>
    </xf>
    <xf numFmtId="0" fontId="0" fillId="27" borderId="10" xfId="0" applyFill="1" applyBorder="1" applyAlignment="1">
      <alignment horizontal="left"/>
    </xf>
    <xf numFmtId="4" fontId="28" fillId="27" borderId="10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 horizontal="center" wrapText="1"/>
    </xf>
    <xf numFmtId="2" fontId="28" fillId="0" borderId="10" xfId="0" applyNumberFormat="1" applyFont="1" applyBorder="1" applyAlignment="1">
      <alignment/>
    </xf>
    <xf numFmtId="4" fontId="35" fillId="0" borderId="24" xfId="0" applyNumberFormat="1" applyFont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left" wrapText="1"/>
    </xf>
    <xf numFmtId="2" fontId="21" fillId="27" borderId="10" xfId="0" applyNumberFormat="1" applyFont="1" applyFill="1" applyBorder="1" applyAlignment="1">
      <alignment horizontal="right"/>
    </xf>
    <xf numFmtId="2" fontId="21" fillId="27" borderId="10" xfId="62" applyNumberFormat="1" applyFont="1" applyFill="1" applyBorder="1" applyAlignment="1">
      <alignment horizontal="right" wrapText="1"/>
    </xf>
    <xf numFmtId="4" fontId="21" fillId="8" borderId="10" xfId="0" applyNumberFormat="1" applyFont="1" applyFill="1" applyBorder="1" applyAlignment="1">
      <alignment horizontal="right"/>
    </xf>
    <xf numFmtId="2" fontId="21" fillId="8" borderId="10" xfId="62" applyNumberFormat="1" applyFont="1" applyFill="1" applyBorder="1" applyAlignment="1">
      <alignment horizontal="right" wrapText="1"/>
    </xf>
    <xf numFmtId="0" fontId="21" fillId="8" borderId="10" xfId="0" applyFont="1" applyFill="1" applyBorder="1" applyAlignment="1">
      <alignment horizontal="left"/>
    </xf>
    <xf numFmtId="2" fontId="21" fillId="8" borderId="0" xfId="0" applyNumberFormat="1" applyFont="1" applyFill="1" applyAlignment="1">
      <alignment horizontal="left"/>
    </xf>
    <xf numFmtId="4" fontId="28" fillId="3" borderId="11" xfId="0" applyNumberFormat="1" applyFont="1" applyFill="1" applyBorder="1" applyAlignment="1">
      <alignment vertical="center" wrapText="1"/>
    </xf>
    <xf numFmtId="0" fontId="23" fillId="28" borderId="18" xfId="0" applyFont="1" applyFill="1" applyBorder="1" applyAlignment="1">
      <alignment wrapText="1"/>
    </xf>
    <xf numFmtId="0" fontId="23" fillId="28" borderId="14" xfId="0" applyFont="1" applyFill="1" applyBorder="1" applyAlignment="1">
      <alignment wrapText="1"/>
    </xf>
    <xf numFmtId="3" fontId="21" fillId="3" borderId="10" xfId="0" applyNumberFormat="1" applyFont="1" applyFill="1" applyBorder="1" applyAlignment="1">
      <alignment horizontal="left"/>
    </xf>
    <xf numFmtId="0" fontId="37" fillId="3" borderId="10" xfId="0" applyFont="1" applyFill="1" applyBorder="1" applyAlignment="1">
      <alignment wrapText="1"/>
    </xf>
    <xf numFmtId="2" fontId="28" fillId="24" borderId="10" xfId="62" applyNumberFormat="1" applyFont="1" applyFill="1" applyBorder="1" applyAlignment="1">
      <alignment horizontal="right" wrapText="1"/>
    </xf>
    <xf numFmtId="2" fontId="28" fillId="27" borderId="10" xfId="62" applyNumberFormat="1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left" wrapText="1"/>
    </xf>
    <xf numFmtId="49" fontId="21" fillId="8" borderId="13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4" fontId="22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/>
    </xf>
    <xf numFmtId="0" fontId="21" fillId="8" borderId="10" xfId="0" applyFont="1" applyFill="1" applyBorder="1" applyAlignment="1">
      <alignment horizontal="left" wrapText="1"/>
    </xf>
    <xf numFmtId="0" fontId="19" fillId="8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left" vertical="center" wrapText="1"/>
    </xf>
    <xf numFmtId="4" fontId="28" fillId="3" borderId="11" xfId="0" applyNumberFormat="1" applyFont="1" applyFill="1" applyBorder="1" applyAlignment="1">
      <alignment/>
    </xf>
    <xf numFmtId="0" fontId="37" fillId="3" borderId="21" xfId="0" applyFont="1" applyFill="1" applyBorder="1" applyAlignment="1">
      <alignment wrapText="1"/>
    </xf>
    <xf numFmtId="0" fontId="28" fillId="29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28" borderId="10" xfId="0" applyFont="1" applyFill="1" applyBorder="1" applyAlignment="1">
      <alignment horizontal="left" vertical="center"/>
    </xf>
    <xf numFmtId="165" fontId="21" fillId="16" borderId="10" xfId="0" applyNumberFormat="1" applyFont="1" applyFill="1" applyBorder="1" applyAlignment="1">
      <alignment horizontal="right"/>
    </xf>
    <xf numFmtId="2" fontId="21" fillId="16" borderId="10" xfId="0" applyNumberFormat="1" applyFont="1" applyFill="1" applyBorder="1" applyAlignment="1" applyProtection="1">
      <alignment horizontal="right" vertical="center" wrapText="1"/>
      <protection/>
    </xf>
    <xf numFmtId="49" fontId="21" fillId="16" borderId="10" xfId="0" applyNumberFormat="1" applyFont="1" applyFill="1" applyBorder="1" applyAlignment="1">
      <alignment horizontal="center"/>
    </xf>
    <xf numFmtId="2" fontId="21" fillId="16" borderId="13" xfId="0" applyNumberFormat="1" applyFont="1" applyFill="1" applyBorder="1" applyAlignment="1">
      <alignment horizontal="right"/>
    </xf>
    <xf numFmtId="1" fontId="21" fillId="16" borderId="10" xfId="0" applyNumberFormat="1" applyFont="1" applyFill="1" applyBorder="1" applyAlignment="1">
      <alignment horizontal="center"/>
    </xf>
    <xf numFmtId="2" fontId="21" fillId="16" borderId="10" xfId="0" applyNumberFormat="1" applyFont="1" applyFill="1" applyBorder="1" applyAlignment="1" applyProtection="1">
      <alignment horizontal="right" vertical="top" wrapText="1"/>
      <protection/>
    </xf>
    <xf numFmtId="0" fontId="21" fillId="16" borderId="10" xfId="0" applyFont="1" applyFill="1" applyBorder="1" applyAlignment="1">
      <alignment wrapText="1"/>
    </xf>
    <xf numFmtId="2" fontId="28" fillId="11" borderId="10" xfId="0" applyNumberFormat="1" applyFont="1" applyFill="1" applyBorder="1" applyAlignment="1">
      <alignment horizontal="right"/>
    </xf>
    <xf numFmtId="0" fontId="20" fillId="11" borderId="10" xfId="0" applyFont="1" applyFill="1" applyBorder="1" applyAlignment="1">
      <alignment/>
    </xf>
    <xf numFmtId="3" fontId="23" fillId="0" borderId="10" xfId="54" applyNumberFormat="1" applyFont="1" applyFill="1" applyBorder="1" applyAlignment="1">
      <alignment horizontal="right" vertical="center" wrapText="1"/>
      <protection/>
    </xf>
    <xf numFmtId="0" fontId="28" fillId="12" borderId="10" xfId="0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2" fontId="21" fillId="16" borderId="16" xfId="0" applyNumberFormat="1" applyFont="1" applyFill="1" applyBorder="1" applyAlignment="1">
      <alignment horizontal="right"/>
    </xf>
    <xf numFmtId="0" fontId="21" fillId="15" borderId="10" xfId="0" applyFont="1" applyFill="1" applyBorder="1" applyAlignment="1">
      <alignment wrapText="1"/>
    </xf>
    <xf numFmtId="49" fontId="21" fillId="15" borderId="10" xfId="0" applyNumberFormat="1" applyFont="1" applyFill="1" applyBorder="1" applyAlignment="1">
      <alignment horizontal="center"/>
    </xf>
    <xf numFmtId="49" fontId="21" fillId="15" borderId="10" xfId="0" applyNumberFormat="1" applyFont="1" applyFill="1" applyBorder="1" applyAlignment="1">
      <alignment horizontal="center" vertical="center"/>
    </xf>
    <xf numFmtId="49" fontId="21" fillId="15" borderId="11" xfId="0" applyNumberFormat="1" applyFont="1" applyFill="1" applyBorder="1" applyAlignment="1">
      <alignment horizontal="center"/>
    </xf>
    <xf numFmtId="165" fontId="21" fillId="15" borderId="10" xfId="0" applyNumberFormat="1" applyFont="1" applyFill="1" applyBorder="1" applyAlignment="1">
      <alignment horizontal="right"/>
    </xf>
    <xf numFmtId="2" fontId="21" fillId="15" borderId="10" xfId="0" applyNumberFormat="1" applyFont="1" applyFill="1" applyBorder="1" applyAlignment="1">
      <alignment horizontal="right"/>
    </xf>
    <xf numFmtId="49" fontId="38" fillId="15" borderId="10" xfId="0" applyNumberFormat="1" applyFont="1" applyFill="1" applyBorder="1" applyAlignment="1">
      <alignment horizontal="center"/>
    </xf>
    <xf numFmtId="2" fontId="21" fillId="16" borderId="10" xfId="0" applyNumberFormat="1" applyFont="1" applyFill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left"/>
    </xf>
    <xf numFmtId="49" fontId="21" fillId="16" borderId="11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49" fontId="21" fillId="16" borderId="10" xfId="0" applyNumberFormat="1" applyFont="1" applyFill="1" applyBorder="1" applyAlignment="1">
      <alignment horizontal="center" vertical="center"/>
    </xf>
    <xf numFmtId="2" fontId="21" fillId="16" borderId="10" xfId="0" applyNumberFormat="1" applyFont="1" applyFill="1" applyBorder="1" applyAlignment="1">
      <alignment/>
    </xf>
    <xf numFmtId="0" fontId="28" fillId="3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43" fontId="28" fillId="27" borderId="10" xfId="62" applyFont="1" applyFill="1" applyBorder="1" applyAlignment="1">
      <alignment/>
    </xf>
    <xf numFmtId="2" fontId="28" fillId="27" borderId="10" xfId="0" applyNumberFormat="1" applyFont="1" applyFill="1" applyBorder="1" applyAlignment="1">
      <alignment horizontal="right"/>
    </xf>
    <xf numFmtId="2" fontId="28" fillId="9" borderId="10" xfId="0" applyNumberFormat="1" applyFont="1" applyFill="1" applyBorder="1" applyAlignment="1">
      <alignment horizontal="right"/>
    </xf>
    <xf numFmtId="0" fontId="20" fillId="9" borderId="10" xfId="0" applyFont="1" applyFill="1" applyBorder="1" applyAlignment="1">
      <alignment/>
    </xf>
    <xf numFmtId="4" fontId="34" fillId="0" borderId="10" xfId="0" applyNumberFormat="1" applyFont="1" applyFill="1" applyBorder="1" applyAlignment="1">
      <alignment horizontal="right" vertical="center" wrapText="1"/>
    </xf>
    <xf numFmtId="4" fontId="28" fillId="28" borderId="10" xfId="0" applyNumberFormat="1" applyFont="1" applyFill="1" applyBorder="1" applyAlignment="1">
      <alignment/>
    </xf>
    <xf numFmtId="4" fontId="28" fillId="27" borderId="15" xfId="0" applyNumberFormat="1" applyFont="1" applyFill="1" applyBorder="1" applyAlignment="1">
      <alignment/>
    </xf>
    <xf numFmtId="0" fontId="21" fillId="9" borderId="10" xfId="0" applyFont="1" applyFill="1" applyBorder="1" applyAlignment="1">
      <alignment wrapText="1"/>
    </xf>
    <xf numFmtId="49" fontId="21" fillId="9" borderId="10" xfId="0" applyNumberFormat="1" applyFont="1" applyFill="1" applyBorder="1" applyAlignment="1">
      <alignment horizontal="center"/>
    </xf>
    <xf numFmtId="165" fontId="21" fillId="9" borderId="10" xfId="0" applyNumberFormat="1" applyFont="1" applyFill="1" applyBorder="1" applyAlignment="1">
      <alignment horizontal="right"/>
    </xf>
    <xf numFmtId="2" fontId="21" fillId="9" borderId="10" xfId="0" applyNumberFormat="1" applyFont="1" applyFill="1" applyBorder="1" applyAlignment="1">
      <alignment horizontal="center" vertical="center"/>
    </xf>
    <xf numFmtId="2" fontId="26" fillId="9" borderId="10" xfId="62" applyNumberFormat="1" applyFont="1" applyFill="1" applyBorder="1" applyAlignment="1">
      <alignment horizontal="right" wrapText="1"/>
    </xf>
    <xf numFmtId="49" fontId="28" fillId="0" borderId="10" xfId="0" applyNumberFormat="1" applyFont="1" applyFill="1" applyBorder="1" applyAlignment="1">
      <alignment horizontal="center"/>
    </xf>
    <xf numFmtId="0" fontId="21" fillId="9" borderId="10" xfId="0" applyFont="1" applyFill="1" applyBorder="1" applyAlignment="1">
      <alignment horizontal="left" wrapText="1"/>
    </xf>
    <xf numFmtId="49" fontId="28" fillId="9" borderId="10" xfId="0" applyNumberFormat="1" applyFont="1" applyFill="1" applyBorder="1" applyAlignment="1">
      <alignment horizontal="center"/>
    </xf>
    <xf numFmtId="49" fontId="21" fillId="9" borderId="13" xfId="0" applyNumberFormat="1" applyFont="1" applyFill="1" applyBorder="1" applyAlignment="1">
      <alignment horizontal="center"/>
    </xf>
    <xf numFmtId="49" fontId="21" fillId="9" borderId="13" xfId="0" applyNumberFormat="1" applyFont="1" applyFill="1" applyBorder="1" applyAlignment="1">
      <alignment horizontal="center" vertical="center"/>
    </xf>
    <xf numFmtId="2" fontId="21" fillId="9" borderId="10" xfId="0" applyNumberFormat="1" applyFont="1" applyFill="1" applyBorder="1" applyAlignment="1">
      <alignment horizontal="center"/>
    </xf>
    <xf numFmtId="4" fontId="0" fillId="9" borderId="10" xfId="0" applyNumberFormat="1" applyFill="1" applyBorder="1" applyAlignment="1">
      <alignment horizontal="center"/>
    </xf>
    <xf numFmtId="0" fontId="21" fillId="5" borderId="10" xfId="0" applyFont="1" applyFill="1" applyBorder="1" applyAlignment="1">
      <alignment wrapText="1"/>
    </xf>
    <xf numFmtId="49" fontId="21" fillId="5" borderId="10" xfId="0" applyNumberFormat="1" applyFont="1" applyFill="1" applyBorder="1" applyAlignment="1">
      <alignment horizontal="center"/>
    </xf>
    <xf numFmtId="1" fontId="21" fillId="5" borderId="10" xfId="0" applyNumberFormat="1" applyFont="1" applyFill="1" applyBorder="1" applyAlignment="1">
      <alignment horizontal="center"/>
    </xf>
    <xf numFmtId="49" fontId="21" fillId="5" borderId="10" xfId="0" applyNumberFormat="1" applyFont="1" applyFill="1" applyBorder="1" applyAlignment="1">
      <alignment horizontal="center" vertical="center"/>
    </xf>
    <xf numFmtId="165" fontId="21" fillId="5" borderId="10" xfId="0" applyNumberFormat="1" applyFont="1" applyFill="1" applyBorder="1" applyAlignment="1">
      <alignment horizontal="right"/>
    </xf>
    <xf numFmtId="2" fontId="21" fillId="5" borderId="10" xfId="0" applyNumberFormat="1" applyFont="1" applyFill="1" applyBorder="1" applyAlignment="1" applyProtection="1">
      <alignment horizontal="right" vertical="top" wrapText="1"/>
      <protection/>
    </xf>
    <xf numFmtId="2" fontId="21" fillId="5" borderId="10" xfId="0" applyNumberFormat="1" applyFont="1" applyFill="1" applyBorder="1" applyAlignment="1">
      <alignment horizontal="right"/>
    </xf>
    <xf numFmtId="2" fontId="21" fillId="5" borderId="10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wrapText="1"/>
    </xf>
    <xf numFmtId="49" fontId="21" fillId="5" borderId="11" xfId="0" applyNumberFormat="1" applyFont="1" applyFill="1" applyBorder="1" applyAlignment="1">
      <alignment vertical="center"/>
    </xf>
    <xf numFmtId="49" fontId="21" fillId="5" borderId="11" xfId="0" applyNumberFormat="1" applyFont="1" applyFill="1" applyBorder="1" applyAlignment="1">
      <alignment/>
    </xf>
    <xf numFmtId="2" fontId="21" fillId="5" borderId="16" xfId="0" applyNumberFormat="1" applyFont="1" applyFill="1" applyBorder="1" applyAlignment="1">
      <alignment horizontal="right"/>
    </xf>
    <xf numFmtId="165" fontId="21" fillId="19" borderId="10" xfId="0" applyNumberFormat="1" applyFont="1" applyFill="1" applyBorder="1" applyAlignment="1">
      <alignment horizontal="right"/>
    </xf>
    <xf numFmtId="2" fontId="21" fillId="19" borderId="16" xfId="0" applyNumberFormat="1" applyFont="1" applyFill="1" applyBorder="1" applyAlignment="1">
      <alignment horizontal="right"/>
    </xf>
    <xf numFmtId="49" fontId="21" fillId="19" borderId="10" xfId="0" applyNumberFormat="1" applyFont="1" applyFill="1" applyBorder="1" applyAlignment="1">
      <alignment horizontal="center"/>
    </xf>
    <xf numFmtId="49" fontId="21" fillId="19" borderId="10" xfId="0" applyNumberFormat="1" applyFont="1" applyFill="1" applyBorder="1" applyAlignment="1">
      <alignment horizontal="center" vertical="center"/>
    </xf>
    <xf numFmtId="2" fontId="21" fillId="19" borderId="10" xfId="0" applyNumberFormat="1" applyFont="1" applyFill="1" applyBorder="1" applyAlignment="1">
      <alignment horizontal="right"/>
    </xf>
    <xf numFmtId="1" fontId="21" fillId="19" borderId="10" xfId="0" applyNumberFormat="1" applyFont="1" applyFill="1" applyBorder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2" fontId="21" fillId="19" borderId="10" xfId="0" applyNumberFormat="1" applyFont="1" applyFill="1" applyBorder="1" applyAlignment="1">
      <alignment/>
    </xf>
    <xf numFmtId="0" fontId="32" fillId="0" borderId="13" xfId="0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vertical="center" wrapText="1"/>
    </xf>
    <xf numFmtId="49" fontId="21" fillId="5" borderId="14" xfId="0" applyNumberFormat="1" applyFont="1" applyFill="1" applyBorder="1" applyAlignment="1">
      <alignment horizontal="center"/>
    </xf>
    <xf numFmtId="165" fontId="21" fillId="5" borderId="10" xfId="0" applyNumberFormat="1" applyFont="1" applyFill="1" applyBorder="1" applyAlignment="1">
      <alignment horizontal="center"/>
    </xf>
    <xf numFmtId="2" fontId="21" fillId="5" borderId="1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3" fontId="28" fillId="25" borderId="13" xfId="0" applyNumberFormat="1" applyFont="1" applyFill="1" applyBorder="1" applyAlignment="1">
      <alignment horizontal="right" wrapText="1"/>
    </xf>
    <xf numFmtId="2" fontId="43" fillId="4" borderId="13" xfId="0" applyNumberFormat="1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/>
    </xf>
    <xf numFmtId="2" fontId="22" fillId="4" borderId="13" xfId="0" applyNumberFormat="1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/>
    </xf>
    <xf numFmtId="0" fontId="45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wrapText="1"/>
    </xf>
    <xf numFmtId="2" fontId="21" fillId="24" borderId="16" xfId="0" applyNumberFormat="1" applyFont="1" applyFill="1" applyBorder="1" applyAlignment="1">
      <alignment horizontal="right"/>
    </xf>
    <xf numFmtId="49" fontId="21" fillId="24" borderId="11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/>
    </xf>
    <xf numFmtId="1" fontId="21" fillId="24" borderId="1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 applyProtection="1">
      <alignment horizontal="right" wrapText="1"/>
      <protection/>
    </xf>
    <xf numFmtId="0" fontId="21" fillId="24" borderId="15" xfId="0" applyFont="1" applyFill="1" applyBorder="1" applyAlignment="1">
      <alignment wrapText="1"/>
    </xf>
    <xf numFmtId="2" fontId="21" fillId="24" borderId="10" xfId="0" applyNumberFormat="1" applyFont="1" applyFill="1" applyBorder="1" applyAlignment="1" applyProtection="1">
      <alignment horizontal="right" vertical="top" wrapText="1"/>
      <protection/>
    </xf>
    <xf numFmtId="0" fontId="21" fillId="24" borderId="10" xfId="0" applyFont="1" applyFill="1" applyBorder="1" applyAlignment="1">
      <alignment vertical="center" wrapText="1"/>
    </xf>
    <xf numFmtId="2" fontId="21" fillId="24" borderId="10" xfId="0" applyNumberFormat="1" applyFont="1" applyFill="1" applyBorder="1" applyAlignment="1" applyProtection="1">
      <alignment horizontal="right" vertical="center" wrapText="1"/>
      <protection/>
    </xf>
    <xf numFmtId="2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/>
    </xf>
    <xf numFmtId="165" fontId="21" fillId="24" borderId="1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wrapText="1"/>
    </xf>
    <xf numFmtId="4" fontId="23" fillId="25" borderId="13" xfId="0" applyNumberFormat="1" applyFont="1" applyFill="1" applyBorder="1" applyAlignment="1">
      <alignment wrapText="1"/>
    </xf>
    <xf numFmtId="3" fontId="23" fillId="25" borderId="19" xfId="0" applyNumberFormat="1" applyFont="1" applyFill="1" applyBorder="1" applyAlignment="1">
      <alignment horizontal="right" wrapText="1"/>
    </xf>
    <xf numFmtId="3" fontId="28" fillId="25" borderId="19" xfId="0" applyNumberFormat="1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left" vertical="top" wrapText="1"/>
    </xf>
    <xf numFmtId="0" fontId="23" fillId="25" borderId="10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wrapText="1"/>
    </xf>
    <xf numFmtId="49" fontId="22" fillId="28" borderId="10" xfId="0" applyNumberFormat="1" applyFont="1" applyFill="1" applyBorder="1" applyAlignment="1">
      <alignment horizontal="center" vertical="center"/>
    </xf>
    <xf numFmtId="2" fontId="21" fillId="28" borderId="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horizontal="left" wrapText="1"/>
    </xf>
    <xf numFmtId="0" fontId="22" fillId="11" borderId="10" xfId="0" applyFont="1" applyFill="1" applyBorder="1" applyAlignment="1">
      <alignment horizontal="center"/>
    </xf>
    <xf numFmtId="165" fontId="22" fillId="11" borderId="10" xfId="0" applyNumberFormat="1" applyFont="1" applyFill="1" applyBorder="1" applyAlignment="1">
      <alignment horizontal="center"/>
    </xf>
    <xf numFmtId="2" fontId="21" fillId="28" borderId="0" xfId="0" applyNumberFormat="1" applyFont="1" applyFill="1" applyAlignment="1">
      <alignment horizontal="right"/>
    </xf>
    <xf numFmtId="3" fontId="28" fillId="25" borderId="19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/>
    </xf>
    <xf numFmtId="165" fontId="21" fillId="27" borderId="10" xfId="0" applyNumberFormat="1" applyFont="1" applyFill="1" applyBorder="1" applyAlignment="1">
      <alignment horizontal="right"/>
    </xf>
    <xf numFmtId="2" fontId="21" fillId="27" borderId="16" xfId="0" applyNumberFormat="1" applyFont="1" applyFill="1" applyBorder="1" applyAlignment="1">
      <alignment horizontal="right"/>
    </xf>
    <xf numFmtId="2" fontId="21" fillId="27" borderId="10" xfId="0" applyNumberFormat="1" applyFont="1" applyFill="1" applyBorder="1" applyAlignment="1">
      <alignment/>
    </xf>
    <xf numFmtId="49" fontId="21" fillId="27" borderId="10" xfId="0" applyNumberFormat="1" applyFont="1" applyFill="1" applyBorder="1" applyAlignment="1">
      <alignment horizontal="center"/>
    </xf>
    <xf numFmtId="49" fontId="21" fillId="27" borderId="10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 vertical="center"/>
    </xf>
    <xf numFmtId="49" fontId="21" fillId="27" borderId="11" xfId="0" applyNumberFormat="1" applyFont="1" applyFill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right"/>
    </xf>
    <xf numFmtId="2" fontId="28" fillId="11" borderId="15" xfId="0" applyNumberFormat="1" applyFont="1" applyFill="1" applyBorder="1" applyAlignment="1">
      <alignment horizontal="right" wrapText="1"/>
    </xf>
    <xf numFmtId="3" fontId="28" fillId="0" borderId="19" xfId="0" applyNumberFormat="1" applyFont="1" applyFill="1" applyBorder="1" applyAlignment="1">
      <alignment horizontal="left" wrapText="1"/>
    </xf>
    <xf numFmtId="3" fontId="28" fillId="0" borderId="13" xfId="0" applyNumberFormat="1" applyFont="1" applyFill="1" applyBorder="1" applyAlignment="1">
      <alignment horizontal="center" wrapText="1"/>
    </xf>
    <xf numFmtId="49" fontId="21" fillId="28" borderId="11" xfId="0" applyNumberFormat="1" applyFont="1" applyFill="1" applyBorder="1" applyAlignment="1">
      <alignment horizontal="center"/>
    </xf>
    <xf numFmtId="49" fontId="21" fillId="28" borderId="10" xfId="0" applyNumberFormat="1" applyFont="1" applyFill="1" applyBorder="1" applyAlignment="1">
      <alignment horizontal="center" vertical="center"/>
    </xf>
    <xf numFmtId="2" fontId="21" fillId="28" borderId="10" xfId="0" applyNumberFormat="1" applyFont="1" applyFill="1" applyBorder="1" applyAlignment="1" applyProtection="1">
      <alignment horizontal="right" vertical="center" wrapText="1"/>
      <protection/>
    </xf>
    <xf numFmtId="49" fontId="24" fillId="28" borderId="10" xfId="0" applyNumberFormat="1" applyFont="1" applyFill="1" applyBorder="1" applyAlignment="1">
      <alignment horizontal="center"/>
    </xf>
    <xf numFmtId="2" fontId="21" fillId="28" borderId="10" xfId="0" applyNumberFormat="1" applyFont="1" applyFill="1" applyBorder="1" applyAlignment="1" applyProtection="1">
      <alignment horizontal="right" vertical="center" wrapText="1"/>
      <protection/>
    </xf>
    <xf numFmtId="165" fontId="21" fillId="28" borderId="10" xfId="0" applyNumberFormat="1" applyFont="1" applyFill="1" applyBorder="1" applyAlignment="1">
      <alignment horizontal="right" vertical="center"/>
    </xf>
    <xf numFmtId="2" fontId="21" fillId="28" borderId="10" xfId="0" applyNumberFormat="1" applyFont="1" applyFill="1" applyBorder="1" applyAlignment="1">
      <alignment horizontal="right" vertical="center"/>
    </xf>
    <xf numFmtId="0" fontId="21" fillId="28" borderId="10" xfId="0" applyFont="1" applyFill="1" applyBorder="1" applyAlignment="1">
      <alignment horizontal="center" vertical="center" wrapText="1"/>
    </xf>
    <xf numFmtId="49" fontId="21" fillId="28" borderId="10" xfId="0" applyNumberFormat="1" applyFont="1" applyFill="1" applyBorder="1" applyAlignment="1">
      <alignment horizontal="left" vertical="center"/>
    </xf>
    <xf numFmtId="2" fontId="21" fillId="28" borderId="10" xfId="0" applyNumberFormat="1" applyFont="1" applyFill="1" applyBorder="1" applyAlignment="1">
      <alignment vertical="center"/>
    </xf>
    <xf numFmtId="0" fontId="21" fillId="28" borderId="10" xfId="0" applyFont="1" applyFill="1" applyBorder="1" applyAlignment="1">
      <alignment wrapText="1"/>
    </xf>
    <xf numFmtId="49" fontId="21" fillId="28" borderId="11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right" wrapText="1"/>
    </xf>
    <xf numFmtId="43" fontId="28" fillId="24" borderId="10" xfId="62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28" fillId="28" borderId="10" xfId="0" applyFont="1" applyFill="1" applyBorder="1" applyAlignment="1">
      <alignment/>
    </xf>
    <xf numFmtId="0" fontId="28" fillId="28" borderId="10" xfId="0" applyFont="1" applyFill="1" applyBorder="1" applyAlignment="1">
      <alignment horizontal="center"/>
    </xf>
    <xf numFmtId="2" fontId="28" fillId="31" borderId="10" xfId="0" applyNumberFormat="1" applyFont="1" applyFill="1" applyBorder="1" applyAlignment="1">
      <alignment horizontal="right"/>
    </xf>
    <xf numFmtId="2" fontId="28" fillId="31" borderId="15" xfId="0" applyNumberFormat="1" applyFont="1" applyFill="1" applyBorder="1" applyAlignment="1">
      <alignment horizontal="right" wrapText="1"/>
    </xf>
    <xf numFmtId="2" fontId="28" fillId="32" borderId="10" xfId="0" applyNumberFormat="1" applyFont="1" applyFill="1" applyBorder="1" applyAlignment="1">
      <alignment horizontal="right"/>
    </xf>
    <xf numFmtId="49" fontId="21" fillId="31" borderId="10" xfId="0" applyNumberFormat="1" applyFont="1" applyFill="1" applyBorder="1" applyAlignment="1">
      <alignment horizontal="center" vertical="center"/>
    </xf>
    <xf numFmtId="165" fontId="21" fillId="31" borderId="10" xfId="0" applyNumberFormat="1" applyFont="1" applyFill="1" applyBorder="1" applyAlignment="1">
      <alignment horizontal="right"/>
    </xf>
    <xf numFmtId="2" fontId="21" fillId="31" borderId="10" xfId="0" applyNumberFormat="1" applyFont="1" applyFill="1" applyBorder="1" applyAlignment="1">
      <alignment horizontal="center"/>
    </xf>
    <xf numFmtId="2" fontId="21" fillId="31" borderId="10" xfId="0" applyNumberFormat="1" applyFont="1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/>
    </xf>
    <xf numFmtId="165" fontId="21" fillId="32" borderId="10" xfId="0" applyNumberFormat="1" applyFont="1" applyFill="1" applyBorder="1" applyAlignment="1">
      <alignment horizontal="right"/>
    </xf>
    <xf numFmtId="2" fontId="21" fillId="32" borderId="10" xfId="0" applyNumberFormat="1" applyFont="1" applyFill="1" applyBorder="1" applyAlignment="1">
      <alignment/>
    </xf>
    <xf numFmtId="49" fontId="21" fillId="32" borderId="10" xfId="0" applyNumberFormat="1" applyFont="1" applyFill="1" applyBorder="1" applyAlignment="1">
      <alignment horizontal="center"/>
    </xf>
    <xf numFmtId="49" fontId="21" fillId="32" borderId="11" xfId="0" applyNumberFormat="1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right"/>
    </xf>
    <xf numFmtId="2" fontId="21" fillId="32" borderId="13" xfId="0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164" fontId="28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/>
    </xf>
    <xf numFmtId="0" fontId="28" fillId="13" borderId="10" xfId="0" applyFont="1" applyFill="1" applyBorder="1" applyAlignment="1">
      <alignment/>
    </xf>
    <xf numFmtId="43" fontId="23" fillId="0" borderId="10" xfId="0" applyNumberFormat="1" applyFont="1" applyBorder="1" applyAlignment="1">
      <alignment/>
    </xf>
    <xf numFmtId="9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3" fillId="34" borderId="10" xfId="0" applyNumberFormat="1" applyFont="1" applyFill="1" applyBorder="1" applyAlignment="1">
      <alignment horizontal="center"/>
    </xf>
    <xf numFmtId="0" fontId="28" fillId="35" borderId="15" xfId="0" applyFont="1" applyFill="1" applyBorder="1" applyAlignment="1">
      <alignment wrapText="1"/>
    </xf>
    <xf numFmtId="0" fontId="23" fillId="9" borderId="10" xfId="0" applyFont="1" applyFill="1" applyBorder="1" applyAlignment="1">
      <alignment/>
    </xf>
    <xf numFmtId="9" fontId="23" fillId="9" borderId="10" xfId="0" applyNumberFormat="1" applyFont="1" applyFill="1" applyBorder="1" applyAlignment="1">
      <alignment/>
    </xf>
    <xf numFmtId="2" fontId="23" fillId="9" borderId="10" xfId="0" applyNumberFormat="1" applyFont="1" applyFill="1" applyBorder="1" applyAlignment="1">
      <alignment/>
    </xf>
    <xf numFmtId="43" fontId="23" fillId="9" borderId="1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left" wrapText="1"/>
    </xf>
    <xf numFmtId="2" fontId="33" fillId="0" borderId="13" xfId="0" applyNumberFormat="1" applyFont="1" applyFill="1" applyBorder="1" applyAlignment="1">
      <alignment horizontal="left" wrapText="1"/>
    </xf>
    <xf numFmtId="2" fontId="33" fillId="0" borderId="11" xfId="0" applyNumberFormat="1" applyFont="1" applyFill="1" applyBorder="1" applyAlignment="1">
      <alignment horizontal="left" vertical="center" wrapText="1"/>
    </xf>
    <xf numFmtId="2" fontId="33" fillId="0" borderId="13" xfId="0" applyNumberFormat="1" applyFont="1" applyFill="1" applyBorder="1" applyAlignment="1">
      <alignment horizontal="left" vertical="center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horizontal="center" vertical="center" wrapText="1"/>
    </xf>
    <xf numFmtId="4" fontId="23" fillId="25" borderId="13" xfId="0" applyNumberFormat="1" applyFont="1" applyFill="1" applyBorder="1" applyAlignment="1">
      <alignment horizontal="center" vertical="center" wrapText="1"/>
    </xf>
    <xf numFmtId="0" fontId="28" fillId="36" borderId="0" xfId="0" applyFont="1" applyFill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wrapText="1"/>
    </xf>
    <xf numFmtId="4" fontId="27" fillId="4" borderId="18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3" fontId="27" fillId="4" borderId="19" xfId="0" applyNumberFormat="1" applyFont="1" applyFill="1" applyBorder="1" applyAlignment="1">
      <alignment horizontal="center" wrapText="1"/>
    </xf>
    <xf numFmtId="3" fontId="27" fillId="4" borderId="20" xfId="0" applyNumberFormat="1" applyFont="1" applyFill="1" applyBorder="1" applyAlignment="1">
      <alignment horizontal="center" wrapText="1"/>
    </xf>
    <xf numFmtId="3" fontId="27" fillId="4" borderId="16" xfId="0" applyNumberFormat="1" applyFont="1" applyFill="1" applyBorder="1" applyAlignment="1">
      <alignment horizontal="center" wrapText="1"/>
    </xf>
    <xf numFmtId="4" fontId="23" fillId="0" borderId="15" xfId="0" applyNumberFormat="1" applyFont="1" applyFill="1" applyBorder="1" applyAlignment="1">
      <alignment horizontal="center" wrapText="1"/>
    </xf>
    <xf numFmtId="4" fontId="23" fillId="0" borderId="18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center" vertical="center" wrapText="1"/>
    </xf>
    <xf numFmtId="0" fontId="28" fillId="22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left" vertical="center"/>
    </xf>
    <xf numFmtId="49" fontId="20" fillId="37" borderId="11" xfId="0" applyNumberFormat="1" applyFont="1" applyFill="1" applyBorder="1" applyAlignment="1">
      <alignment horizontal="center" vertical="center" wrapText="1"/>
    </xf>
    <xf numFmtId="49" fontId="20" fillId="37" borderId="12" xfId="0" applyNumberFormat="1" applyFont="1" applyFill="1" applyBorder="1" applyAlignment="1">
      <alignment horizontal="center" vertical="center" wrapText="1"/>
    </xf>
    <xf numFmtId="49" fontId="20" fillId="37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" fontId="23" fillId="4" borderId="15" xfId="0" applyNumberFormat="1" applyFont="1" applyFill="1" applyBorder="1" applyAlignment="1">
      <alignment horizontal="center" vertical="center" wrapText="1"/>
    </xf>
    <xf numFmtId="4" fontId="23" fillId="4" borderId="18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3" fontId="23" fillId="8" borderId="15" xfId="0" applyNumberFormat="1" applyFont="1" applyFill="1" applyBorder="1" applyAlignment="1">
      <alignment horizontal="left" wrapText="1"/>
    </xf>
    <xf numFmtId="3" fontId="23" fillId="8" borderId="18" xfId="0" applyNumberFormat="1" applyFont="1" applyFill="1" applyBorder="1" applyAlignment="1">
      <alignment horizontal="left" wrapText="1"/>
    </xf>
    <xf numFmtId="3" fontId="23" fillId="8" borderId="14" xfId="0" applyNumberFormat="1" applyFont="1" applyFill="1" applyBorder="1" applyAlignment="1">
      <alignment horizontal="left" wrapText="1"/>
    </xf>
    <xf numFmtId="4" fontId="36" fillId="3" borderId="15" xfId="0" applyNumberFormat="1" applyFont="1" applyFill="1" applyBorder="1" applyAlignment="1">
      <alignment horizontal="center"/>
    </xf>
    <xf numFmtId="4" fontId="36" fillId="3" borderId="18" xfId="0" applyNumberFormat="1" applyFont="1" applyFill="1" applyBorder="1" applyAlignment="1">
      <alignment horizontal="center"/>
    </xf>
    <xf numFmtId="4" fontId="36" fillId="3" borderId="14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left" wrapText="1"/>
    </xf>
    <xf numFmtId="0" fontId="23" fillId="28" borderId="18" xfId="0" applyFont="1" applyFill="1" applyBorder="1" applyAlignment="1">
      <alignment horizontal="left" wrapText="1"/>
    </xf>
    <xf numFmtId="0" fontId="23" fillId="28" borderId="14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0" fontId="22" fillId="24" borderId="14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2" fillId="24" borderId="15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wrapText="1"/>
    </xf>
    <xf numFmtId="49" fontId="21" fillId="25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top" wrapText="1"/>
    </xf>
    <xf numFmtId="2" fontId="21" fillId="25" borderId="10" xfId="0" applyNumberFormat="1" applyFont="1" applyFill="1" applyBorder="1" applyAlignment="1">
      <alignment horizontal="right"/>
    </xf>
    <xf numFmtId="0" fontId="21" fillId="25" borderId="11" xfId="0" applyFont="1" applyFill="1" applyBorder="1" applyAlignment="1">
      <alignment horizontal="left" wrapText="1"/>
    </xf>
    <xf numFmtId="0" fontId="21" fillId="25" borderId="13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8" borderId="11" xfId="0" applyNumberFormat="1" applyFont="1" applyFill="1" applyBorder="1" applyAlignment="1">
      <alignment horizontal="center" vertical="center"/>
    </xf>
    <xf numFmtId="49" fontId="21" fillId="8" borderId="13" xfId="0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left" wrapText="1"/>
    </xf>
    <xf numFmtId="0" fontId="21" fillId="8" borderId="13" xfId="0" applyFont="1" applyFill="1" applyBorder="1" applyAlignment="1">
      <alignment horizontal="left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13" xfId="0" applyFont="1" applyFill="1" applyBorder="1" applyAlignment="1">
      <alignment horizontal="left" vertical="center" wrapText="1"/>
    </xf>
    <xf numFmtId="49" fontId="21" fillId="8" borderId="11" xfId="0" applyNumberFormat="1" applyFont="1" applyFill="1" applyBorder="1" applyAlignment="1">
      <alignment horizontal="center"/>
    </xf>
    <xf numFmtId="49" fontId="21" fillId="8" borderId="12" xfId="0" applyNumberFormat="1" applyFont="1" applyFill="1" applyBorder="1" applyAlignment="1">
      <alignment horizontal="center"/>
    </xf>
    <xf numFmtId="49" fontId="21" fillId="8" borderId="13" xfId="0" applyNumberFormat="1" applyFont="1" applyFill="1" applyBorder="1" applyAlignment="1">
      <alignment horizontal="center"/>
    </xf>
    <xf numFmtId="0" fontId="21" fillId="8" borderId="12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left" vertical="center" wrapText="1"/>
    </xf>
    <xf numFmtId="0" fontId="21" fillId="16" borderId="12" xfId="0" applyFont="1" applyFill="1" applyBorder="1" applyAlignment="1">
      <alignment horizontal="left" vertical="center" wrapText="1"/>
    </xf>
    <xf numFmtId="0" fontId="21" fillId="16" borderId="13" xfId="0" applyFont="1" applyFill="1" applyBorder="1" applyAlignment="1">
      <alignment horizontal="left" vertical="center" wrapText="1"/>
    </xf>
    <xf numFmtId="49" fontId="21" fillId="16" borderId="11" xfId="0" applyNumberFormat="1" applyFont="1" applyFill="1" applyBorder="1" applyAlignment="1">
      <alignment horizontal="center" vertical="center"/>
    </xf>
    <xf numFmtId="49" fontId="21" fillId="16" borderId="13" xfId="0" applyNumberFormat="1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left" wrapText="1"/>
    </xf>
    <xf numFmtId="0" fontId="21" fillId="16" borderId="13" xfId="0" applyFont="1" applyFill="1" applyBorder="1" applyAlignment="1">
      <alignment horizontal="left" wrapText="1"/>
    </xf>
    <xf numFmtId="49" fontId="21" fillId="16" borderId="11" xfId="0" applyNumberFormat="1" applyFont="1" applyFill="1" applyBorder="1" applyAlignment="1">
      <alignment horizontal="center"/>
    </xf>
    <xf numFmtId="49" fontId="21" fillId="16" borderId="12" xfId="0" applyNumberFormat="1" applyFont="1" applyFill="1" applyBorder="1" applyAlignment="1">
      <alignment horizontal="center"/>
    </xf>
    <xf numFmtId="49" fontId="21" fillId="16" borderId="13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 horizontal="left" wrapText="1"/>
    </xf>
    <xf numFmtId="49" fontId="21" fillId="5" borderId="11" xfId="0" applyNumberFormat="1" applyFont="1" applyFill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/>
    </xf>
    <xf numFmtId="49" fontId="21" fillId="5" borderId="10" xfId="0" applyNumberFormat="1" applyFont="1" applyFill="1" applyBorder="1" applyAlignment="1">
      <alignment horizontal="center" vertical="center"/>
    </xf>
    <xf numFmtId="49" fontId="21" fillId="19" borderId="11" xfId="0" applyNumberFormat="1" applyFont="1" applyFill="1" applyBorder="1" applyAlignment="1">
      <alignment horizontal="center" vertical="center"/>
    </xf>
    <xf numFmtId="49" fontId="21" fillId="19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49" fontId="21" fillId="28" borderId="11" xfId="0" applyNumberFormat="1" applyFont="1" applyFill="1" applyBorder="1" applyAlignment="1">
      <alignment horizontal="center" vertical="center"/>
    </xf>
    <xf numFmtId="49" fontId="21" fillId="28" borderId="13" xfId="0" applyNumberFormat="1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/>
    </xf>
    <xf numFmtId="49" fontId="21" fillId="27" borderId="13" xfId="0" applyNumberFormat="1" applyFont="1" applyFill="1" applyBorder="1" applyAlignment="1">
      <alignment horizontal="center" vertical="center"/>
    </xf>
    <xf numFmtId="0" fontId="0" fillId="27" borderId="13" xfId="0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 vertical="center"/>
    </xf>
    <xf numFmtId="49" fontId="21" fillId="28" borderId="11" xfId="0" applyNumberFormat="1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49" fontId="21" fillId="28" borderId="13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 wrapText="1"/>
    </xf>
    <xf numFmtId="49" fontId="21" fillId="32" borderId="11" xfId="0" applyNumberFormat="1" applyFont="1" applyFill="1" applyBorder="1" applyAlignment="1">
      <alignment horizontal="center" vertical="center"/>
    </xf>
    <xf numFmtId="49" fontId="21" fillId="32" borderId="12" xfId="0" applyNumberFormat="1" applyFont="1" applyFill="1" applyBorder="1" applyAlignment="1">
      <alignment horizontal="center" vertical="center"/>
    </xf>
    <xf numFmtId="49" fontId="21" fillId="32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23" fillId="33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_Расчет по ООУ на 2019 го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8"/>
  <sheetViews>
    <sheetView tabSelected="1" view="pageBreakPreview" zoomScaleSheetLayoutView="100" zoomScalePageLayoutView="0" workbookViewId="0" topLeftCell="A189">
      <selection activeCell="A199" sqref="A199"/>
    </sheetView>
  </sheetViews>
  <sheetFormatPr defaultColWidth="9.00390625" defaultRowHeight="12.75"/>
  <cols>
    <col min="1" max="1" width="53.625" style="147" customWidth="1"/>
    <col min="2" max="2" width="21.375" style="147" customWidth="1"/>
    <col min="3" max="3" width="18.125" style="146" customWidth="1"/>
    <col min="4" max="4" width="15.375" style="145" customWidth="1"/>
    <col min="5" max="5" width="14.875" style="146" customWidth="1"/>
    <col min="6" max="6" width="14.375" style="149" customWidth="1"/>
    <col min="7" max="7" width="22.00390625" style="149" customWidth="1"/>
    <col min="8" max="8" width="28.875" style="280" customWidth="1"/>
    <col min="9" max="9" width="12.25390625" style="149" bestFit="1" customWidth="1"/>
    <col min="10" max="10" width="14.75390625" style="149" bestFit="1" customWidth="1"/>
    <col min="11" max="11" width="12.875" style="149" bestFit="1" customWidth="1"/>
    <col min="12" max="12" width="12.00390625" style="149" customWidth="1"/>
    <col min="13" max="16384" width="9.125" style="149" customWidth="1"/>
  </cols>
  <sheetData>
    <row r="1" spans="1:8" ht="15">
      <c r="A1" s="143"/>
      <c r="B1" s="143"/>
      <c r="C1" s="144"/>
      <c r="F1" s="147"/>
      <c r="G1" s="147"/>
      <c r="H1" s="148"/>
    </row>
    <row r="2" spans="1:8" ht="15">
      <c r="A2" s="150"/>
      <c r="D2" s="151" t="s">
        <v>187</v>
      </c>
      <c r="F2" s="147"/>
      <c r="G2" s="147"/>
      <c r="H2" s="148"/>
    </row>
    <row r="3" spans="1:8" ht="14.25" customHeight="1">
      <c r="A3" s="152"/>
      <c r="B3" s="152"/>
      <c r="C3" s="153"/>
      <c r="D3" s="154"/>
      <c r="E3" s="155"/>
      <c r="F3" s="147"/>
      <c r="G3" s="147" t="s">
        <v>200</v>
      </c>
      <c r="H3" s="156"/>
    </row>
    <row r="4" spans="1:8" ht="16.5" customHeight="1">
      <c r="A4" s="620" t="s">
        <v>235</v>
      </c>
      <c r="B4" s="620"/>
      <c r="C4" s="620"/>
      <c r="D4" s="620"/>
      <c r="E4" s="620"/>
      <c r="F4" s="147"/>
      <c r="G4" s="147"/>
      <c r="H4" s="148"/>
    </row>
    <row r="5" spans="1:8" ht="15">
      <c r="A5" s="157"/>
      <c r="B5" s="157"/>
      <c r="C5" s="155"/>
      <c r="D5" s="154"/>
      <c r="E5" s="155"/>
      <c r="F5" s="147"/>
      <c r="G5" s="147"/>
      <c r="H5" s="148"/>
    </row>
    <row r="6" spans="1:8" ht="27.75" customHeight="1">
      <c r="A6" s="621" t="s">
        <v>0</v>
      </c>
      <c r="B6" s="621" t="s">
        <v>1</v>
      </c>
      <c r="C6" s="622" t="s">
        <v>47</v>
      </c>
      <c r="D6" s="621" t="s">
        <v>24</v>
      </c>
      <c r="E6" s="158" t="s">
        <v>2</v>
      </c>
      <c r="F6" s="622" t="s">
        <v>25</v>
      </c>
      <c r="G6" s="636" t="s">
        <v>26</v>
      </c>
      <c r="H6" s="637"/>
    </row>
    <row r="7" spans="1:8" ht="35.25" customHeight="1" thickBot="1">
      <c r="A7" s="622"/>
      <c r="B7" s="622"/>
      <c r="C7" s="623"/>
      <c r="D7" s="622"/>
      <c r="E7" s="307" t="s">
        <v>3</v>
      </c>
      <c r="F7" s="623"/>
      <c r="G7" s="622" t="s">
        <v>27</v>
      </c>
      <c r="H7" s="638" t="s">
        <v>28</v>
      </c>
    </row>
    <row r="8" spans="1:8" ht="22.5" customHeight="1" thickBot="1">
      <c r="A8" s="140" t="s">
        <v>29</v>
      </c>
      <c r="B8" s="334"/>
      <c r="C8" s="335"/>
      <c r="D8" s="336"/>
      <c r="E8" s="337">
        <f>SUM(E10:E188)</f>
        <v>7682602.539999999</v>
      </c>
      <c r="F8" s="624"/>
      <c r="G8" s="644"/>
      <c r="H8" s="639"/>
    </row>
    <row r="9" spans="1:8" ht="19.5" customHeight="1">
      <c r="A9" s="652" t="s">
        <v>52</v>
      </c>
      <c r="B9" s="653"/>
      <c r="C9" s="653"/>
      <c r="D9" s="291"/>
      <c r="E9" s="297"/>
      <c r="F9" s="292"/>
      <c r="G9" s="293"/>
      <c r="H9" s="294"/>
    </row>
    <row r="10" spans="1:8" ht="33" customHeight="1">
      <c r="A10" s="160" t="s">
        <v>263</v>
      </c>
      <c r="B10" s="161"/>
      <c r="C10" s="161"/>
      <c r="D10" s="284">
        <v>221</v>
      </c>
      <c r="E10" s="303">
        <v>32600</v>
      </c>
      <c r="F10" s="301" t="s">
        <v>273</v>
      </c>
      <c r="G10" s="385"/>
      <c r="H10" s="165" t="s">
        <v>306</v>
      </c>
    </row>
    <row r="11" spans="1:8" ht="33" customHeight="1">
      <c r="A11" s="160" t="s">
        <v>451</v>
      </c>
      <c r="B11" s="161"/>
      <c r="C11" s="161"/>
      <c r="D11" s="284">
        <v>222</v>
      </c>
      <c r="E11" s="303">
        <v>48950</v>
      </c>
      <c r="F11" s="301" t="s">
        <v>273</v>
      </c>
      <c r="G11" s="385"/>
      <c r="H11" s="165" t="s">
        <v>452</v>
      </c>
    </row>
    <row r="12" spans="1:8" ht="27" customHeight="1" hidden="1">
      <c r="A12" s="167" t="s">
        <v>266</v>
      </c>
      <c r="B12" s="161"/>
      <c r="C12" s="161"/>
      <c r="D12" s="285">
        <v>222</v>
      </c>
      <c r="E12" s="454">
        <v>0</v>
      </c>
      <c r="F12" s="455" t="s">
        <v>282</v>
      </c>
      <c r="G12" s="385"/>
      <c r="H12" s="165"/>
    </row>
    <row r="13" spans="1:8" ht="30" customHeight="1">
      <c r="A13" s="160" t="s">
        <v>451</v>
      </c>
      <c r="B13" s="168"/>
      <c r="C13" s="161"/>
      <c r="D13" s="285">
        <v>222</v>
      </c>
      <c r="E13" s="303">
        <f>102000-48950-7400</f>
        <v>45650</v>
      </c>
      <c r="F13" s="301" t="s">
        <v>273</v>
      </c>
      <c r="G13" s="480"/>
      <c r="H13" s="165" t="s">
        <v>479</v>
      </c>
    </row>
    <row r="14" spans="1:8" ht="30" customHeight="1" thickBot="1">
      <c r="A14" s="167"/>
      <c r="B14" s="282">
        <v>244</v>
      </c>
      <c r="C14" s="286">
        <f>SUM(E15:E34)</f>
        <v>205818.4</v>
      </c>
      <c r="D14" s="283">
        <v>226</v>
      </c>
      <c r="E14" s="163"/>
      <c r="F14" s="348"/>
      <c r="G14" s="385"/>
      <c r="H14" s="165"/>
    </row>
    <row r="15" spans="1:8" ht="30" customHeight="1" thickBot="1">
      <c r="A15" s="166" t="s">
        <v>292</v>
      </c>
      <c r="B15" s="172"/>
      <c r="C15" s="172"/>
      <c r="D15" s="149">
        <v>226</v>
      </c>
      <c r="E15" s="303">
        <f>34500+21516</f>
        <v>56016</v>
      </c>
      <c r="F15" s="301" t="s">
        <v>273</v>
      </c>
      <c r="G15" s="415"/>
      <c r="H15" s="165" t="s">
        <v>293</v>
      </c>
    </row>
    <row r="16" spans="1:8" ht="15.75" hidden="1">
      <c r="A16" s="166" t="s">
        <v>264</v>
      </c>
      <c r="B16" s="161"/>
      <c r="C16" s="161"/>
      <c r="D16" s="169">
        <v>226</v>
      </c>
      <c r="E16" s="454">
        <v>0</v>
      </c>
      <c r="F16" s="455" t="s">
        <v>282</v>
      </c>
      <c r="G16" s="176"/>
      <c r="H16" s="171"/>
    </row>
    <row r="17" spans="1:8" ht="15.75" hidden="1">
      <c r="A17" s="166" t="s">
        <v>264</v>
      </c>
      <c r="B17" s="161"/>
      <c r="C17" s="161"/>
      <c r="D17" s="169">
        <v>226</v>
      </c>
      <c r="E17" s="454">
        <f>11732.2-11732.2</f>
        <v>0</v>
      </c>
      <c r="F17" s="455" t="s">
        <v>282</v>
      </c>
      <c r="G17" s="176"/>
      <c r="H17" s="171"/>
    </row>
    <row r="18" spans="1:8" ht="15.75" hidden="1">
      <c r="A18" s="166" t="s">
        <v>264</v>
      </c>
      <c r="B18" s="161"/>
      <c r="C18" s="161"/>
      <c r="D18" s="169">
        <v>226</v>
      </c>
      <c r="E18" s="454">
        <f>2270-2270</f>
        <v>0</v>
      </c>
      <c r="F18" s="455" t="s">
        <v>282</v>
      </c>
      <c r="G18" s="176"/>
      <c r="H18" s="171"/>
    </row>
    <row r="19" spans="1:8" ht="30">
      <c r="A19" s="166" t="s">
        <v>319</v>
      </c>
      <c r="B19" s="161"/>
      <c r="C19" s="161"/>
      <c r="D19" s="169">
        <v>226</v>
      </c>
      <c r="E19" s="303">
        <v>83510</v>
      </c>
      <c r="F19" s="301" t="s">
        <v>273</v>
      </c>
      <c r="G19" s="170"/>
      <c r="H19" s="171" t="s">
        <v>320</v>
      </c>
    </row>
    <row r="20" spans="1:8" ht="15.75" hidden="1">
      <c r="A20" s="166" t="s">
        <v>258</v>
      </c>
      <c r="B20" s="161"/>
      <c r="C20" s="161"/>
      <c r="D20" s="169">
        <v>226</v>
      </c>
      <c r="E20" s="454">
        <v>0</v>
      </c>
      <c r="F20" s="455" t="s">
        <v>282</v>
      </c>
      <c r="G20" s="170"/>
      <c r="H20" s="171"/>
    </row>
    <row r="21" spans="1:8" ht="30">
      <c r="A21" s="166" t="s">
        <v>356</v>
      </c>
      <c r="B21" s="161"/>
      <c r="C21" s="161"/>
      <c r="D21" s="169">
        <v>226</v>
      </c>
      <c r="E21" s="303">
        <v>1050</v>
      </c>
      <c r="F21" s="301" t="s">
        <v>273</v>
      </c>
      <c r="G21" s="170"/>
      <c r="H21" s="171" t="s">
        <v>357</v>
      </c>
    </row>
    <row r="22" spans="1:8" ht="30">
      <c r="A22" s="166" t="s">
        <v>258</v>
      </c>
      <c r="B22" s="161"/>
      <c r="C22" s="161"/>
      <c r="D22" s="169">
        <v>226</v>
      </c>
      <c r="E22" s="303">
        <v>5972.4</v>
      </c>
      <c r="F22" s="301" t="s">
        <v>273</v>
      </c>
      <c r="G22" s="170"/>
      <c r="H22" s="171" t="s">
        <v>326</v>
      </c>
    </row>
    <row r="23" spans="1:8" ht="30">
      <c r="A23" s="166" t="s">
        <v>265</v>
      </c>
      <c r="B23" s="161" t="s">
        <v>232</v>
      </c>
      <c r="C23" s="161"/>
      <c r="D23" s="169">
        <v>226</v>
      </c>
      <c r="E23" s="303">
        <f>10000-3600+800</f>
        <v>7200</v>
      </c>
      <c r="F23" s="301" t="s">
        <v>273</v>
      </c>
      <c r="G23" s="170"/>
      <c r="H23" s="171" t="s">
        <v>354</v>
      </c>
    </row>
    <row r="24" spans="1:8" ht="30">
      <c r="A24" s="166" t="s">
        <v>265</v>
      </c>
      <c r="B24" s="161" t="s">
        <v>232</v>
      </c>
      <c r="C24" s="161"/>
      <c r="D24" s="169">
        <v>226</v>
      </c>
      <c r="E24" s="303">
        <v>10800</v>
      </c>
      <c r="F24" s="301" t="s">
        <v>273</v>
      </c>
      <c r="G24" s="170"/>
      <c r="H24" s="171" t="s">
        <v>355</v>
      </c>
    </row>
    <row r="25" spans="1:8" ht="30">
      <c r="A25" s="166" t="s">
        <v>265</v>
      </c>
      <c r="B25" s="161" t="s">
        <v>232</v>
      </c>
      <c r="C25" s="161"/>
      <c r="D25" s="169">
        <v>226</v>
      </c>
      <c r="E25" s="303">
        <v>3600</v>
      </c>
      <c r="F25" s="301" t="s">
        <v>273</v>
      </c>
      <c r="G25" s="170"/>
      <c r="H25" s="171" t="s">
        <v>352</v>
      </c>
    </row>
    <row r="26" spans="1:8" ht="30">
      <c r="A26" s="166" t="s">
        <v>323</v>
      </c>
      <c r="B26" s="161"/>
      <c r="C26" s="161"/>
      <c r="D26" s="169">
        <v>226</v>
      </c>
      <c r="E26" s="303">
        <v>2700</v>
      </c>
      <c r="F26" s="301" t="s">
        <v>273</v>
      </c>
      <c r="G26" s="170"/>
      <c r="H26" s="171" t="s">
        <v>324</v>
      </c>
    </row>
    <row r="27" spans="1:8" ht="30">
      <c r="A27" s="166" t="s">
        <v>506</v>
      </c>
      <c r="B27" s="161"/>
      <c r="C27" s="161"/>
      <c r="D27" s="162">
        <v>226</v>
      </c>
      <c r="E27" s="303">
        <f>56000-3000-2700-16000-2000-4100-4400-18330-1100</f>
        <v>4370</v>
      </c>
      <c r="F27" s="301" t="s">
        <v>273</v>
      </c>
      <c r="G27" s="170"/>
      <c r="H27" s="171" t="s">
        <v>507</v>
      </c>
    </row>
    <row r="28" spans="1:8" ht="30">
      <c r="A28" s="166" t="s">
        <v>504</v>
      </c>
      <c r="B28" s="161"/>
      <c r="C28" s="161"/>
      <c r="D28" s="162">
        <v>226</v>
      </c>
      <c r="E28" s="303">
        <v>1100</v>
      </c>
      <c r="F28" s="301" t="s">
        <v>273</v>
      </c>
      <c r="G28" s="170"/>
      <c r="H28" s="171" t="s">
        <v>505</v>
      </c>
    </row>
    <row r="29" spans="1:8" ht="15.75" hidden="1">
      <c r="A29" s="166" t="s">
        <v>251</v>
      </c>
      <c r="B29" s="161"/>
      <c r="C29" s="161"/>
      <c r="D29" s="162">
        <v>226</v>
      </c>
      <c r="E29" s="454">
        <v>0</v>
      </c>
      <c r="F29" s="455" t="s">
        <v>282</v>
      </c>
      <c r="G29" s="170"/>
      <c r="H29" s="171"/>
    </row>
    <row r="30" spans="1:8" ht="30">
      <c r="A30" s="166" t="s">
        <v>492</v>
      </c>
      <c r="B30" s="161"/>
      <c r="C30" s="161"/>
      <c r="D30" s="162">
        <v>226</v>
      </c>
      <c r="E30" s="303">
        <v>4400</v>
      </c>
      <c r="F30" s="301" t="s">
        <v>273</v>
      </c>
      <c r="G30" s="170"/>
      <c r="H30" s="171" t="s">
        <v>493</v>
      </c>
    </row>
    <row r="31" spans="1:8" ht="30">
      <c r="A31" s="166" t="s">
        <v>489</v>
      </c>
      <c r="B31" s="161"/>
      <c r="C31" s="161"/>
      <c r="D31" s="162">
        <v>226</v>
      </c>
      <c r="E31" s="303">
        <v>4100</v>
      </c>
      <c r="F31" s="301" t="s">
        <v>273</v>
      </c>
      <c r="G31" s="170"/>
      <c r="H31" s="171" t="s">
        <v>490</v>
      </c>
    </row>
    <row r="32" spans="1:8" ht="45">
      <c r="A32" s="166" t="s">
        <v>461</v>
      </c>
      <c r="B32" s="161"/>
      <c r="C32" s="161"/>
      <c r="D32" s="162">
        <v>226</v>
      </c>
      <c r="E32" s="303">
        <v>2000</v>
      </c>
      <c r="F32" s="301" t="s">
        <v>273</v>
      </c>
      <c r="G32" s="170"/>
      <c r="H32" s="171" t="s">
        <v>460</v>
      </c>
    </row>
    <row r="33" spans="1:8" ht="30">
      <c r="A33" s="166" t="s">
        <v>398</v>
      </c>
      <c r="B33" s="161"/>
      <c r="C33" s="161"/>
      <c r="D33" s="162">
        <v>226</v>
      </c>
      <c r="E33" s="303">
        <v>16000</v>
      </c>
      <c r="F33" s="301" t="s">
        <v>273</v>
      </c>
      <c r="G33" s="170"/>
      <c r="H33" s="171" t="s">
        <v>397</v>
      </c>
    </row>
    <row r="34" spans="1:8" ht="36.75" customHeight="1">
      <c r="A34" s="166" t="s">
        <v>313</v>
      </c>
      <c r="B34" s="161"/>
      <c r="C34" s="161"/>
      <c r="D34" s="162">
        <v>226</v>
      </c>
      <c r="E34" s="303">
        <v>3000</v>
      </c>
      <c r="F34" s="301" t="s">
        <v>273</v>
      </c>
      <c r="G34" s="170"/>
      <c r="H34" s="171" t="s">
        <v>314</v>
      </c>
    </row>
    <row r="35" spans="1:8" ht="29.25" customHeight="1">
      <c r="A35" s="166" t="s">
        <v>529</v>
      </c>
      <c r="B35" s="161"/>
      <c r="C35" s="161"/>
      <c r="D35" s="569">
        <v>310</v>
      </c>
      <c r="E35" s="303">
        <f>51979.4-3940-31500</f>
        <v>16539.4</v>
      </c>
      <c r="F35" s="301" t="s">
        <v>273</v>
      </c>
      <c r="G35" s="170"/>
      <c r="H35" s="171" t="s">
        <v>530</v>
      </c>
    </row>
    <row r="36" spans="1:8" ht="30.75" customHeight="1">
      <c r="A36" s="166" t="s">
        <v>521</v>
      </c>
      <c r="B36" s="161"/>
      <c r="C36" s="161"/>
      <c r="D36" s="569">
        <v>310</v>
      </c>
      <c r="E36" s="303">
        <v>31500</v>
      </c>
      <c r="F36" s="301" t="s">
        <v>273</v>
      </c>
      <c r="G36" s="170"/>
      <c r="H36" s="171" t="s">
        <v>522</v>
      </c>
    </row>
    <row r="37" spans="1:8" ht="29.25" customHeight="1">
      <c r="A37" s="166" t="s">
        <v>519</v>
      </c>
      <c r="B37" s="161"/>
      <c r="C37" s="161"/>
      <c r="D37" s="569">
        <v>310</v>
      </c>
      <c r="E37" s="303">
        <v>3940</v>
      </c>
      <c r="F37" s="301" t="s">
        <v>273</v>
      </c>
      <c r="G37" s="170"/>
      <c r="H37" s="171" t="s">
        <v>520</v>
      </c>
    </row>
    <row r="38" spans="1:8" ht="30" customHeight="1">
      <c r="A38" s="549" t="s">
        <v>498</v>
      </c>
      <c r="B38" s="339"/>
      <c r="C38" s="339"/>
      <c r="D38" s="551">
        <v>346</v>
      </c>
      <c r="E38" s="303">
        <v>3472.2</v>
      </c>
      <c r="F38" s="301" t="s">
        <v>273</v>
      </c>
      <c r="G38" s="170"/>
      <c r="H38" s="171" t="s">
        <v>499</v>
      </c>
    </row>
    <row r="39" spans="1:8" ht="28.5" customHeight="1">
      <c r="A39" s="166" t="s">
        <v>259</v>
      </c>
      <c r="B39" s="161"/>
      <c r="C39" s="161"/>
      <c r="D39" s="285">
        <v>341</v>
      </c>
      <c r="E39" s="303">
        <v>1400</v>
      </c>
      <c r="F39" s="301" t="s">
        <v>273</v>
      </c>
      <c r="G39" s="170"/>
      <c r="H39" s="171" t="s">
        <v>312</v>
      </c>
    </row>
    <row r="40" spans="1:8" ht="20.25" customHeight="1">
      <c r="A40" s="642" t="s">
        <v>53</v>
      </c>
      <c r="B40" s="643"/>
      <c r="C40" s="643"/>
      <c r="D40" s="643"/>
      <c r="E40" s="295"/>
      <c r="F40" s="293"/>
      <c r="G40" s="296"/>
      <c r="H40" s="294"/>
    </row>
    <row r="41" spans="1:8" ht="19.5" customHeight="1" hidden="1">
      <c r="A41" s="166"/>
      <c r="B41" s="161"/>
      <c r="C41" s="161"/>
      <c r="D41" s="284"/>
      <c r="E41" s="454">
        <f>13100-3000-10100</f>
        <v>0</v>
      </c>
      <c r="F41" s="455" t="s">
        <v>282</v>
      </c>
      <c r="G41" s="170"/>
      <c r="H41" s="173"/>
    </row>
    <row r="42" spans="1:8" ht="30.75" customHeight="1">
      <c r="A42" s="166" t="s">
        <v>484</v>
      </c>
      <c r="B42" s="161"/>
      <c r="C42" s="161"/>
      <c r="D42" s="284">
        <v>346</v>
      </c>
      <c r="E42" s="303">
        <v>3000</v>
      </c>
      <c r="F42" s="301" t="s">
        <v>273</v>
      </c>
      <c r="G42" s="170"/>
      <c r="H42" s="173" t="s">
        <v>485</v>
      </c>
    </row>
    <row r="43" spans="1:10" ht="20.25" customHeight="1">
      <c r="A43" s="166"/>
      <c r="B43" s="288">
        <f>SUM(E44:E49)</f>
        <v>920797.3300000001</v>
      </c>
      <c r="C43" s="287"/>
      <c r="D43" s="289">
        <v>223</v>
      </c>
      <c r="E43" s="163"/>
      <c r="F43" s="305"/>
      <c r="G43" s="170"/>
      <c r="H43" s="173"/>
      <c r="J43" s="217"/>
    </row>
    <row r="44" spans="1:10" ht="30" customHeight="1">
      <c r="A44" s="166" t="s">
        <v>302</v>
      </c>
      <c r="B44" s="338"/>
      <c r="C44" s="339"/>
      <c r="D44" s="354">
        <v>223</v>
      </c>
      <c r="E44" s="163">
        <v>392874.71</v>
      </c>
      <c r="F44" s="305" t="s">
        <v>185</v>
      </c>
      <c r="G44" s="170"/>
      <c r="H44" s="173" t="s">
        <v>300</v>
      </c>
      <c r="J44" s="217"/>
    </row>
    <row r="45" spans="1:10" ht="20.25" customHeight="1">
      <c r="A45" s="166" t="s">
        <v>182</v>
      </c>
      <c r="B45" s="304"/>
      <c r="C45" s="161">
        <f>E44+E49+E46</f>
        <v>414870.12</v>
      </c>
      <c r="D45" s="162">
        <v>223</v>
      </c>
      <c r="E45" s="342"/>
      <c r="F45" s="341" t="s">
        <v>282</v>
      </c>
      <c r="G45" s="170"/>
      <c r="H45" s="173"/>
      <c r="J45" s="216"/>
    </row>
    <row r="46" spans="1:10" ht="20.25" customHeight="1">
      <c r="A46" s="166"/>
      <c r="B46" s="161"/>
      <c r="C46" s="161"/>
      <c r="D46" s="162">
        <v>223</v>
      </c>
      <c r="E46" s="454">
        <v>0</v>
      </c>
      <c r="F46" s="455" t="s">
        <v>282</v>
      </c>
      <c r="G46" s="170"/>
      <c r="H46" s="173"/>
      <c r="J46" s="216"/>
    </row>
    <row r="47" spans="1:10" ht="45" customHeight="1">
      <c r="A47" s="166" t="s">
        <v>370</v>
      </c>
      <c r="B47" s="414"/>
      <c r="C47" s="274"/>
      <c r="D47" s="274">
        <v>223</v>
      </c>
      <c r="E47" s="303">
        <f>110834.06-35336.85</f>
        <v>75497.20999999999</v>
      </c>
      <c r="F47" s="301" t="s">
        <v>273</v>
      </c>
      <c r="G47" s="170"/>
      <c r="H47" s="173" t="s">
        <v>371</v>
      </c>
      <c r="J47" s="216"/>
    </row>
    <row r="48" spans="1:10" ht="33.75" customHeight="1">
      <c r="A48" s="166" t="s">
        <v>252</v>
      </c>
      <c r="B48" s="161"/>
      <c r="C48" s="161"/>
      <c r="D48" s="162">
        <v>223</v>
      </c>
      <c r="E48" s="163">
        <v>430430</v>
      </c>
      <c r="F48" s="174" t="s">
        <v>276</v>
      </c>
      <c r="G48" s="170"/>
      <c r="H48" s="173" t="s">
        <v>291</v>
      </c>
      <c r="J48" s="217"/>
    </row>
    <row r="49" spans="1:10" ht="47.25" customHeight="1">
      <c r="A49" s="166" t="s">
        <v>301</v>
      </c>
      <c r="B49" s="161"/>
      <c r="C49" s="161"/>
      <c r="D49" s="162">
        <v>223</v>
      </c>
      <c r="E49" s="303">
        <f>35336.85-13341.44</f>
        <v>21995.409999999996</v>
      </c>
      <c r="F49" s="301" t="s">
        <v>273</v>
      </c>
      <c r="G49" s="170"/>
      <c r="H49" s="173" t="s">
        <v>351</v>
      </c>
      <c r="J49" s="216"/>
    </row>
    <row r="50" spans="1:9" ht="49.5" customHeight="1">
      <c r="A50" s="166" t="s">
        <v>305</v>
      </c>
      <c r="B50" s="288">
        <f>SUM(E50:E51)</f>
        <v>14622.89</v>
      </c>
      <c r="C50" s="287"/>
      <c r="D50" s="406">
        <v>222</v>
      </c>
      <c r="E50" s="303">
        <f>17547.44-2884.55-40</f>
        <v>14622.89</v>
      </c>
      <c r="F50" s="301" t="s">
        <v>273</v>
      </c>
      <c r="G50" s="178" t="s">
        <v>497</v>
      </c>
      <c r="H50" s="173" t="s">
        <v>315</v>
      </c>
      <c r="I50" s="216"/>
    </row>
    <row r="51" spans="1:9" ht="20.25" customHeight="1">
      <c r="A51" s="166" t="s">
        <v>305</v>
      </c>
      <c r="B51" s="338"/>
      <c r="C51" s="339"/>
      <c r="D51" s="352">
        <v>222</v>
      </c>
      <c r="E51" s="454">
        <v>0</v>
      </c>
      <c r="F51" s="455" t="s">
        <v>282</v>
      </c>
      <c r="G51" s="170"/>
      <c r="H51" s="173"/>
      <c r="I51" s="216"/>
    </row>
    <row r="52" spans="1:8" ht="28.5" customHeight="1">
      <c r="A52" s="166" t="s">
        <v>459</v>
      </c>
      <c r="B52" s="288">
        <f>SUM(E52:E67)</f>
        <v>219742.45</v>
      </c>
      <c r="C52" s="287"/>
      <c r="D52" s="290">
        <v>225</v>
      </c>
      <c r="E52" s="303">
        <f>16200+1272</f>
        <v>17472</v>
      </c>
      <c r="F52" s="301" t="s">
        <v>273</v>
      </c>
      <c r="G52" s="170"/>
      <c r="H52" s="173" t="s">
        <v>458</v>
      </c>
    </row>
    <row r="53" spans="1:8" ht="30" customHeight="1">
      <c r="A53" s="166" t="s">
        <v>466</v>
      </c>
      <c r="B53" s="161"/>
      <c r="C53" s="161"/>
      <c r="D53" s="162">
        <v>225</v>
      </c>
      <c r="E53" s="303">
        <f>10000+11200+21969</f>
        <v>43169</v>
      </c>
      <c r="F53" s="301" t="s">
        <v>273</v>
      </c>
      <c r="G53" s="170"/>
      <c r="H53" s="173" t="s">
        <v>467</v>
      </c>
    </row>
    <row r="54" spans="1:8" ht="36.75" customHeight="1" hidden="1">
      <c r="A54" s="175" t="s">
        <v>253</v>
      </c>
      <c r="B54" s="161"/>
      <c r="C54" s="161"/>
      <c r="D54" s="169">
        <v>225</v>
      </c>
      <c r="E54" s="303">
        <f>25000-13800-11200</f>
        <v>0</v>
      </c>
      <c r="F54" s="301" t="s">
        <v>273</v>
      </c>
      <c r="G54" s="170"/>
      <c r="H54" s="173"/>
    </row>
    <row r="55" spans="1:8" ht="36.75" customHeight="1">
      <c r="A55" s="175" t="s">
        <v>298</v>
      </c>
      <c r="B55" s="161"/>
      <c r="C55" s="161"/>
      <c r="D55" s="169">
        <v>225</v>
      </c>
      <c r="E55" s="303">
        <v>13800</v>
      </c>
      <c r="F55" s="301" t="s">
        <v>273</v>
      </c>
      <c r="G55" s="170"/>
      <c r="H55" s="173" t="s">
        <v>299</v>
      </c>
    </row>
    <row r="56" spans="1:8" ht="30.75" customHeight="1">
      <c r="A56" s="175" t="s">
        <v>510</v>
      </c>
      <c r="B56" s="161"/>
      <c r="C56" s="161"/>
      <c r="D56" s="169">
        <v>225</v>
      </c>
      <c r="E56" s="303">
        <f>40000-15000-21969+1889</f>
        <v>4920</v>
      </c>
      <c r="F56" s="301" t="s">
        <v>273</v>
      </c>
      <c r="G56" s="176"/>
      <c r="H56" s="173" t="s">
        <v>511</v>
      </c>
    </row>
    <row r="57" spans="1:8" ht="37.5" customHeight="1">
      <c r="A57" s="166" t="s">
        <v>254</v>
      </c>
      <c r="B57" s="161"/>
      <c r="C57" s="161"/>
      <c r="D57" s="169">
        <v>225</v>
      </c>
      <c r="E57" s="303">
        <f>18000-9000</f>
        <v>9000</v>
      </c>
      <c r="F57" s="301" t="s">
        <v>273</v>
      </c>
      <c r="G57" s="8" t="s">
        <v>468</v>
      </c>
      <c r="H57" s="171" t="s">
        <v>303</v>
      </c>
    </row>
    <row r="58" spans="1:8" ht="34.5" customHeight="1">
      <c r="A58" s="166" t="s">
        <v>254</v>
      </c>
      <c r="B58" s="161"/>
      <c r="C58" s="161"/>
      <c r="D58" s="169">
        <v>225</v>
      </c>
      <c r="E58" s="303">
        <v>9000</v>
      </c>
      <c r="F58" s="301" t="s">
        <v>273</v>
      </c>
      <c r="G58" s="173"/>
      <c r="H58" s="171" t="s">
        <v>471</v>
      </c>
    </row>
    <row r="59" spans="1:11" ht="30" customHeight="1">
      <c r="A59" s="166" t="s">
        <v>295</v>
      </c>
      <c r="B59" s="161"/>
      <c r="C59" s="161"/>
      <c r="D59" s="169">
        <v>225</v>
      </c>
      <c r="E59" s="303">
        <v>16000</v>
      </c>
      <c r="F59" s="301" t="s">
        <v>273</v>
      </c>
      <c r="G59" s="173"/>
      <c r="H59" s="171" t="s">
        <v>296</v>
      </c>
      <c r="K59" s="177"/>
    </row>
    <row r="60" spans="1:8" ht="41.25" customHeight="1">
      <c r="A60" s="166" t="s">
        <v>267</v>
      </c>
      <c r="B60" s="161"/>
      <c r="C60" s="161"/>
      <c r="D60" s="169">
        <v>225</v>
      </c>
      <c r="E60" s="303">
        <f>14900-5126.04+1091.82-631.21</f>
        <v>10234.57</v>
      </c>
      <c r="F60" s="301" t="s">
        <v>273</v>
      </c>
      <c r="G60" s="164"/>
      <c r="H60" s="8" t="s">
        <v>523</v>
      </c>
    </row>
    <row r="61" spans="1:8" ht="28.5" customHeight="1">
      <c r="A61" s="166" t="s">
        <v>349</v>
      </c>
      <c r="B61" s="161"/>
      <c r="C61" s="161"/>
      <c r="D61" s="169">
        <v>225</v>
      </c>
      <c r="E61" s="303">
        <f>5126.04-1091.82</f>
        <v>4034.2200000000003</v>
      </c>
      <c r="F61" s="301" t="s">
        <v>273</v>
      </c>
      <c r="G61" s="164" t="s">
        <v>494</v>
      </c>
      <c r="H61" s="173" t="s">
        <v>350</v>
      </c>
    </row>
    <row r="62" spans="1:8" ht="30" customHeight="1">
      <c r="A62" s="166" t="s">
        <v>328</v>
      </c>
      <c r="B62" s="161"/>
      <c r="C62" s="161"/>
      <c r="D62" s="169">
        <v>225</v>
      </c>
      <c r="E62" s="303">
        <f>13200-9000+1727.6+1572.4</f>
        <v>7500</v>
      </c>
      <c r="F62" s="301" t="s">
        <v>273</v>
      </c>
      <c r="G62" s="164"/>
      <c r="H62" s="173" t="s">
        <v>329</v>
      </c>
    </row>
    <row r="63" spans="1:8" ht="30" customHeight="1">
      <c r="A63" s="166" t="s">
        <v>202</v>
      </c>
      <c r="B63" s="161"/>
      <c r="C63" s="161"/>
      <c r="D63" s="169">
        <v>225</v>
      </c>
      <c r="E63" s="303">
        <v>9000</v>
      </c>
      <c r="F63" s="301" t="s">
        <v>273</v>
      </c>
      <c r="G63" s="164"/>
      <c r="H63" s="173" t="s">
        <v>311</v>
      </c>
    </row>
    <row r="64" spans="1:8" ht="30" customHeight="1">
      <c r="A64" s="166" t="s">
        <v>316</v>
      </c>
      <c r="B64" s="161"/>
      <c r="C64" s="161"/>
      <c r="D64" s="169">
        <v>225</v>
      </c>
      <c r="E64" s="303">
        <v>20000</v>
      </c>
      <c r="F64" s="301" t="s">
        <v>273</v>
      </c>
      <c r="G64" s="164"/>
      <c r="H64" s="173" t="s">
        <v>317</v>
      </c>
    </row>
    <row r="65" spans="1:8" ht="33" customHeight="1">
      <c r="A65" s="166" t="s">
        <v>255</v>
      </c>
      <c r="B65" s="161"/>
      <c r="C65" s="161"/>
      <c r="D65" s="169">
        <v>225</v>
      </c>
      <c r="E65" s="303">
        <v>15872.4</v>
      </c>
      <c r="F65" s="301" t="s">
        <v>273</v>
      </c>
      <c r="G65" s="164"/>
      <c r="H65" s="361" t="s">
        <v>327</v>
      </c>
    </row>
    <row r="66" spans="1:8" ht="32.25" customHeight="1">
      <c r="A66" s="166" t="s">
        <v>256</v>
      </c>
      <c r="B66" s="161"/>
      <c r="C66" s="161"/>
      <c r="D66" s="169">
        <v>225</v>
      </c>
      <c r="E66" s="303">
        <v>17000</v>
      </c>
      <c r="F66" s="301" t="s">
        <v>273</v>
      </c>
      <c r="G66" s="170"/>
      <c r="H66" s="173" t="s">
        <v>415</v>
      </c>
    </row>
    <row r="67" spans="1:8" ht="24.75" customHeight="1">
      <c r="A67" s="166" t="s">
        <v>486</v>
      </c>
      <c r="B67" s="161"/>
      <c r="C67" s="161"/>
      <c r="D67" s="169">
        <v>225</v>
      </c>
      <c r="E67" s="303">
        <f>40000-20000-1572.4-1272+5584.66</f>
        <v>22740.26</v>
      </c>
      <c r="F67" s="301" t="s">
        <v>273</v>
      </c>
      <c r="G67" s="164"/>
      <c r="H67" s="8" t="s">
        <v>487</v>
      </c>
    </row>
    <row r="68" spans="1:8" ht="24" customHeight="1">
      <c r="A68" s="166"/>
      <c r="B68" s="288">
        <f>SUM(E69:E72)</f>
        <v>140776.33000000002</v>
      </c>
      <c r="C68" s="287"/>
      <c r="D68" s="290">
        <v>226</v>
      </c>
      <c r="E68" s="350"/>
      <c r="F68" s="351"/>
      <c r="G68" s="178"/>
      <c r="H68" s="171"/>
    </row>
    <row r="69" spans="1:8" ht="40.5" customHeight="1">
      <c r="A69" s="166" t="s">
        <v>257</v>
      </c>
      <c r="B69" s="338"/>
      <c r="C69" s="339"/>
      <c r="D69" s="352">
        <v>226</v>
      </c>
      <c r="E69" s="303">
        <f>71200-17547.48+1195.48+22000</f>
        <v>76848</v>
      </c>
      <c r="F69" s="301" t="s">
        <v>273</v>
      </c>
      <c r="G69" s="178"/>
      <c r="H69" s="47" t="s">
        <v>297</v>
      </c>
    </row>
    <row r="70" spans="1:8" ht="24.75" customHeight="1">
      <c r="A70" s="173" t="s">
        <v>516</v>
      </c>
      <c r="B70" s="338"/>
      <c r="C70" s="339"/>
      <c r="D70" s="550">
        <v>310</v>
      </c>
      <c r="E70" s="591">
        <f>30000-16240</f>
        <v>13760</v>
      </c>
      <c r="F70" s="301" t="s">
        <v>273</v>
      </c>
      <c r="G70" s="178"/>
      <c r="H70" s="47" t="s">
        <v>543</v>
      </c>
    </row>
    <row r="71" spans="1:8" ht="27.75" customHeight="1">
      <c r="A71" s="173" t="s">
        <v>541</v>
      </c>
      <c r="B71" s="338"/>
      <c r="C71" s="339"/>
      <c r="D71" s="550">
        <v>310</v>
      </c>
      <c r="E71" s="591">
        <v>16240</v>
      </c>
      <c r="F71" s="301" t="s">
        <v>273</v>
      </c>
      <c r="G71" s="178"/>
      <c r="H71" s="47" t="s">
        <v>542</v>
      </c>
    </row>
    <row r="72" spans="1:8" ht="30.75" customHeight="1">
      <c r="A72" s="166" t="s">
        <v>547</v>
      </c>
      <c r="B72" s="288">
        <f>SUM(E72:E75)</f>
        <v>64028.33</v>
      </c>
      <c r="C72" s="287"/>
      <c r="D72" s="290">
        <v>344</v>
      </c>
      <c r="E72" s="591">
        <v>33928.33</v>
      </c>
      <c r="F72" s="301" t="s">
        <v>273</v>
      </c>
      <c r="G72" s="353"/>
      <c r="H72" s="171" t="s">
        <v>548</v>
      </c>
    </row>
    <row r="73" spans="1:8" ht="36" customHeight="1">
      <c r="A73" s="166" t="s">
        <v>260</v>
      </c>
      <c r="B73" s="585"/>
      <c r="C73" s="161"/>
      <c r="D73" s="169">
        <v>344</v>
      </c>
      <c r="E73" s="303">
        <v>10000</v>
      </c>
      <c r="F73" s="301" t="s">
        <v>273</v>
      </c>
      <c r="G73" s="178"/>
      <c r="H73" s="171" t="s">
        <v>321</v>
      </c>
    </row>
    <row r="74" spans="1:8" ht="30.75" customHeight="1">
      <c r="A74" s="166" t="s">
        <v>260</v>
      </c>
      <c r="B74" s="338"/>
      <c r="C74" s="339"/>
      <c r="D74" s="352">
        <v>344</v>
      </c>
      <c r="E74" s="586">
        <v>10100</v>
      </c>
      <c r="F74" s="301" t="s">
        <v>273</v>
      </c>
      <c r="G74" s="178"/>
      <c r="H74" s="171" t="s">
        <v>503</v>
      </c>
    </row>
    <row r="75" spans="1:8" ht="28.5" customHeight="1">
      <c r="A75" s="166" t="s">
        <v>260</v>
      </c>
      <c r="B75" s="161"/>
      <c r="C75" s="161"/>
      <c r="D75" s="169">
        <v>344</v>
      </c>
      <c r="E75" s="303">
        <v>10000</v>
      </c>
      <c r="F75" s="301" t="s">
        <v>273</v>
      </c>
      <c r="G75" s="178"/>
      <c r="H75" s="171" t="s">
        <v>353</v>
      </c>
    </row>
    <row r="76" spans="1:8" ht="33.75" customHeight="1">
      <c r="A76" s="166" t="s">
        <v>391</v>
      </c>
      <c r="B76" s="288">
        <f>SUM(E76:E77)</f>
        <v>35000</v>
      </c>
      <c r="C76" s="287"/>
      <c r="D76" s="290">
        <v>346</v>
      </c>
      <c r="E76" s="303">
        <v>15000</v>
      </c>
      <c r="F76" s="301" t="s">
        <v>273</v>
      </c>
      <c r="G76" s="440"/>
      <c r="H76" s="171" t="s">
        <v>392</v>
      </c>
    </row>
    <row r="77" spans="1:10" ht="31.5" customHeight="1">
      <c r="A77" s="166" t="s">
        <v>268</v>
      </c>
      <c r="B77" s="161"/>
      <c r="C77" s="161"/>
      <c r="D77" s="285">
        <v>346</v>
      </c>
      <c r="E77" s="303">
        <v>20000</v>
      </c>
      <c r="F77" s="301" t="s">
        <v>273</v>
      </c>
      <c r="G77" s="178"/>
      <c r="H77" s="171" t="s">
        <v>322</v>
      </c>
      <c r="J77" s="216"/>
    </row>
    <row r="78" spans="1:8" ht="21" customHeight="1">
      <c r="A78" s="645" t="s">
        <v>152</v>
      </c>
      <c r="B78" s="646"/>
      <c r="C78" s="646"/>
      <c r="D78" s="647"/>
      <c r="E78" s="297"/>
      <c r="F78" s="293"/>
      <c r="G78" s="296"/>
      <c r="H78" s="294"/>
    </row>
    <row r="79" spans="1:8" ht="31.5" customHeight="1">
      <c r="A79" s="281" t="s">
        <v>261</v>
      </c>
      <c r="B79" s="288">
        <f>SUM(E79:E80)</f>
        <v>50154.72</v>
      </c>
      <c r="C79" s="287"/>
      <c r="D79" s="290">
        <v>221</v>
      </c>
      <c r="E79" s="303">
        <f>30000-29256.92+20154.72</f>
        <v>20897.800000000003</v>
      </c>
      <c r="F79" s="301" t="s">
        <v>273</v>
      </c>
      <c r="G79" s="164"/>
      <c r="H79" s="173" t="s">
        <v>437</v>
      </c>
    </row>
    <row r="80" spans="1:8" ht="31.5" customHeight="1">
      <c r="A80" s="281" t="s">
        <v>307</v>
      </c>
      <c r="B80" s="172"/>
      <c r="C80" s="172"/>
      <c r="D80" s="180">
        <v>221</v>
      </c>
      <c r="E80" s="303">
        <v>29256.92</v>
      </c>
      <c r="F80" s="301" t="s">
        <v>273</v>
      </c>
      <c r="G80" s="164"/>
      <c r="H80" s="173" t="s">
        <v>308</v>
      </c>
    </row>
    <row r="81" spans="1:8" ht="31.5" customHeight="1">
      <c r="A81" s="281" t="s">
        <v>261</v>
      </c>
      <c r="B81" s="172"/>
      <c r="C81" s="172"/>
      <c r="D81" s="180">
        <v>221</v>
      </c>
      <c r="E81" s="454">
        <f>20155-20154.72</f>
        <v>0.27999999999883585</v>
      </c>
      <c r="F81" s="455" t="s">
        <v>282</v>
      </c>
      <c r="G81" s="164"/>
      <c r="H81" s="173"/>
    </row>
    <row r="82" spans="1:8" ht="31.5" customHeight="1">
      <c r="A82" s="281" t="s">
        <v>406</v>
      </c>
      <c r="B82" s="172"/>
      <c r="C82" s="172"/>
      <c r="D82" s="456">
        <v>310</v>
      </c>
      <c r="E82" s="477">
        <f>166231.01-125960.31</f>
        <v>40270.70000000001</v>
      </c>
      <c r="F82" s="411" t="s">
        <v>180</v>
      </c>
      <c r="G82" s="164"/>
      <c r="H82" s="173" t="s">
        <v>472</v>
      </c>
    </row>
    <row r="83" spans="1:8" ht="31.5" customHeight="1">
      <c r="A83" s="281" t="s">
        <v>37</v>
      </c>
      <c r="B83" s="172"/>
      <c r="C83" s="172"/>
      <c r="D83" s="180">
        <v>310</v>
      </c>
      <c r="E83" s="477">
        <v>125960.31</v>
      </c>
      <c r="F83" s="411" t="s">
        <v>180</v>
      </c>
      <c r="G83" s="149" t="s">
        <v>450</v>
      </c>
      <c r="H83" s="173" t="s">
        <v>444</v>
      </c>
    </row>
    <row r="84" spans="1:8" ht="31.5" customHeight="1" hidden="1">
      <c r="A84" s="281" t="s">
        <v>406</v>
      </c>
      <c r="B84" s="172"/>
      <c r="C84" s="172"/>
      <c r="D84" s="180">
        <v>310</v>
      </c>
      <c r="E84" s="454">
        <f>2400-2400</f>
        <v>0</v>
      </c>
      <c r="F84" s="455" t="s">
        <v>282</v>
      </c>
      <c r="G84" s="164"/>
      <c r="H84" s="173"/>
    </row>
    <row r="85" spans="1:8" ht="31.5" customHeight="1">
      <c r="A85" s="281" t="s">
        <v>406</v>
      </c>
      <c r="B85" s="172"/>
      <c r="C85" s="172"/>
      <c r="D85" s="180">
        <v>310</v>
      </c>
      <c r="E85" s="478">
        <f>641445-166231.01-2400</f>
        <v>472813.99</v>
      </c>
      <c r="F85" s="479" t="s">
        <v>438</v>
      </c>
      <c r="G85" s="164"/>
      <c r="H85" s="173" t="s">
        <v>457</v>
      </c>
    </row>
    <row r="86" spans="1:8" ht="34.5" customHeight="1">
      <c r="A86" s="281" t="s">
        <v>338</v>
      </c>
      <c r="B86" s="288">
        <f>SUM(E86:E89)</f>
        <v>40000</v>
      </c>
      <c r="C86" s="287"/>
      <c r="D86" s="290">
        <v>346</v>
      </c>
      <c r="E86" s="303">
        <v>20000</v>
      </c>
      <c r="F86" s="301" t="s">
        <v>273</v>
      </c>
      <c r="G86" s="164"/>
      <c r="H86" s="173" t="s">
        <v>470</v>
      </c>
    </row>
    <row r="87" spans="1:8" ht="33.75" customHeight="1">
      <c r="A87" s="281" t="s">
        <v>159</v>
      </c>
      <c r="B87" s="172"/>
      <c r="C87" s="172"/>
      <c r="D87" s="180">
        <v>346</v>
      </c>
      <c r="E87" s="303">
        <v>13100</v>
      </c>
      <c r="F87" s="301" t="s">
        <v>273</v>
      </c>
      <c r="G87" s="164"/>
      <c r="H87" s="173" t="s">
        <v>318</v>
      </c>
    </row>
    <row r="88" spans="1:8" ht="21.75" customHeight="1" hidden="1">
      <c r="A88" s="281"/>
      <c r="B88" s="172"/>
      <c r="C88" s="172"/>
      <c r="D88" s="180"/>
      <c r="E88" s="163"/>
      <c r="F88" s="348"/>
      <c r="G88" s="164"/>
      <c r="H88" s="173"/>
    </row>
    <row r="89" spans="1:8" ht="34.5" customHeight="1">
      <c r="A89" s="281" t="s">
        <v>159</v>
      </c>
      <c r="B89" s="182"/>
      <c r="C89" s="172"/>
      <c r="D89" s="180">
        <v>346</v>
      </c>
      <c r="E89" s="303">
        <f>20000-13100</f>
        <v>6900</v>
      </c>
      <c r="F89" s="301" t="s">
        <v>273</v>
      </c>
      <c r="G89" s="164"/>
      <c r="H89" s="173" t="s">
        <v>341</v>
      </c>
    </row>
    <row r="90" spans="1:8" ht="18" customHeight="1">
      <c r="A90" s="642" t="s">
        <v>153</v>
      </c>
      <c r="B90" s="643"/>
      <c r="C90" s="643"/>
      <c r="D90" s="643"/>
      <c r="E90" s="298"/>
      <c r="F90" s="293"/>
      <c r="G90" s="296"/>
      <c r="H90" s="294"/>
    </row>
    <row r="91" spans="1:8" ht="15" hidden="1">
      <c r="A91" s="184" t="s">
        <v>7</v>
      </c>
      <c r="B91" s="184"/>
      <c r="C91" s="185"/>
      <c r="D91" s="186">
        <v>221</v>
      </c>
      <c r="E91" s="187"/>
      <c r="F91" s="172"/>
      <c r="G91" s="170"/>
      <c r="H91" s="173"/>
    </row>
    <row r="92" spans="1:8" ht="27" customHeight="1" hidden="1">
      <c r="A92" s="184" t="s">
        <v>8</v>
      </c>
      <c r="B92" s="184"/>
      <c r="C92" s="185"/>
      <c r="D92" s="186">
        <v>222</v>
      </c>
      <c r="E92" s="187"/>
      <c r="F92" s="172"/>
      <c r="G92" s="170"/>
      <c r="H92" s="173"/>
    </row>
    <row r="93" spans="1:8" ht="27" customHeight="1" hidden="1">
      <c r="A93" s="184" t="s">
        <v>9</v>
      </c>
      <c r="B93" s="184"/>
      <c r="C93" s="185"/>
      <c r="D93" s="186">
        <v>223</v>
      </c>
      <c r="E93" s="188"/>
      <c r="F93" s="172"/>
      <c r="G93" s="170"/>
      <c r="H93" s="173"/>
    </row>
    <row r="94" spans="1:8" ht="27" customHeight="1" hidden="1">
      <c r="A94" s="184"/>
      <c r="B94" s="184"/>
      <c r="C94" s="185"/>
      <c r="D94" s="186" t="s">
        <v>15</v>
      </c>
      <c r="E94" s="188"/>
      <c r="F94" s="172"/>
      <c r="G94" s="170"/>
      <c r="H94" s="173"/>
    </row>
    <row r="95" spans="1:8" ht="27" customHeight="1" hidden="1">
      <c r="A95" s="184"/>
      <c r="B95" s="184"/>
      <c r="C95" s="185"/>
      <c r="D95" s="186" t="s">
        <v>16</v>
      </c>
      <c r="E95" s="188"/>
      <c r="F95" s="172"/>
      <c r="G95" s="170"/>
      <c r="H95" s="173"/>
    </row>
    <row r="96" spans="1:8" ht="3" customHeight="1" hidden="1">
      <c r="A96" s="184" t="s">
        <v>10</v>
      </c>
      <c r="B96" s="184"/>
      <c r="C96" s="185"/>
      <c r="D96" s="186">
        <v>224</v>
      </c>
      <c r="E96" s="188"/>
      <c r="F96" s="172"/>
      <c r="G96" s="170"/>
      <c r="H96" s="173"/>
    </row>
    <row r="97" spans="1:8" ht="1.5" customHeight="1">
      <c r="A97" s="184"/>
      <c r="B97" s="184"/>
      <c r="C97" s="185"/>
      <c r="D97" s="186"/>
      <c r="E97" s="188"/>
      <c r="F97" s="172"/>
      <c r="G97" s="170"/>
      <c r="H97" s="173"/>
    </row>
    <row r="98" spans="1:8" ht="29.25" customHeight="1">
      <c r="A98" s="281" t="s">
        <v>262</v>
      </c>
      <c r="B98" s="288">
        <f>SUM(E98:E101)</f>
        <v>534800</v>
      </c>
      <c r="C98" s="287"/>
      <c r="D98" s="405">
        <v>226</v>
      </c>
      <c r="E98" s="306">
        <f>534800-133700-133700-89132</f>
        <v>178268</v>
      </c>
      <c r="F98" s="411" t="s">
        <v>180</v>
      </c>
      <c r="G98" s="170"/>
      <c r="H98" s="173" t="s">
        <v>475</v>
      </c>
    </row>
    <row r="99" spans="1:8" ht="36" customHeight="1">
      <c r="A99" s="281" t="s">
        <v>435</v>
      </c>
      <c r="B99" s="304"/>
      <c r="C99" s="161"/>
      <c r="D99" s="475">
        <v>226</v>
      </c>
      <c r="E99" s="306">
        <v>89132</v>
      </c>
      <c r="F99" s="411" t="s">
        <v>180</v>
      </c>
      <c r="G99" s="170"/>
      <c r="H99" s="173" t="s">
        <v>436</v>
      </c>
    </row>
    <row r="100" spans="1:8" ht="36" customHeight="1">
      <c r="A100" s="281" t="s">
        <v>347</v>
      </c>
      <c r="B100" s="304"/>
      <c r="C100" s="161"/>
      <c r="D100" s="170">
        <v>226</v>
      </c>
      <c r="E100" s="306">
        <v>133700</v>
      </c>
      <c r="F100" s="411" t="s">
        <v>180</v>
      </c>
      <c r="G100" s="170"/>
      <c r="H100" s="173" t="s">
        <v>348</v>
      </c>
    </row>
    <row r="101" spans="1:8" ht="33.75" customHeight="1">
      <c r="A101" s="281" t="s">
        <v>285</v>
      </c>
      <c r="B101" s="172"/>
      <c r="C101" s="189"/>
      <c r="D101" s="179">
        <v>226</v>
      </c>
      <c r="E101" s="306">
        <v>133700</v>
      </c>
      <c r="F101" s="411" t="s">
        <v>180</v>
      </c>
      <c r="G101" s="170"/>
      <c r="H101" s="173" t="s">
        <v>286</v>
      </c>
    </row>
    <row r="102" spans="1:8" ht="32.25" customHeight="1">
      <c r="A102" s="171" t="s">
        <v>481</v>
      </c>
      <c r="B102" s="288">
        <f>SUM(E102:E107)</f>
        <v>2020000</v>
      </c>
      <c r="C102" s="287"/>
      <c r="D102" s="405">
        <v>225</v>
      </c>
      <c r="E102" s="306">
        <f>2020000-399000-200000-399000-399000-200000</f>
        <v>423000</v>
      </c>
      <c r="F102" s="411" t="s">
        <v>180</v>
      </c>
      <c r="G102" s="170"/>
      <c r="H102" s="173" t="s">
        <v>480</v>
      </c>
    </row>
    <row r="103" spans="1:8" ht="36.75" customHeight="1">
      <c r="A103" s="184" t="s">
        <v>431</v>
      </c>
      <c r="B103" s="304"/>
      <c r="C103" s="161"/>
      <c r="D103" s="170">
        <v>225</v>
      </c>
      <c r="E103" s="306">
        <v>399000</v>
      </c>
      <c r="F103" s="411" t="s">
        <v>180</v>
      </c>
      <c r="G103" s="170"/>
      <c r="H103" s="173" t="s">
        <v>432</v>
      </c>
    </row>
    <row r="104" spans="1:8" ht="36" customHeight="1">
      <c r="A104" s="171" t="s">
        <v>289</v>
      </c>
      <c r="B104" s="172"/>
      <c r="C104" s="189"/>
      <c r="D104" s="191">
        <v>225</v>
      </c>
      <c r="E104" s="306">
        <v>200000</v>
      </c>
      <c r="F104" s="411" t="s">
        <v>180</v>
      </c>
      <c r="G104" s="170"/>
      <c r="H104" s="173" t="s">
        <v>290</v>
      </c>
    </row>
    <row r="105" spans="1:8" ht="36" customHeight="1">
      <c r="A105" s="171" t="s">
        <v>433</v>
      </c>
      <c r="B105" s="172"/>
      <c r="C105" s="189"/>
      <c r="D105" s="191">
        <v>225</v>
      </c>
      <c r="E105" s="306">
        <v>200000</v>
      </c>
      <c r="F105" s="411" t="s">
        <v>180</v>
      </c>
      <c r="G105" s="170"/>
      <c r="H105" s="173" t="s">
        <v>434</v>
      </c>
    </row>
    <row r="106" spans="1:8" ht="36" customHeight="1">
      <c r="A106" s="184" t="s">
        <v>342</v>
      </c>
      <c r="B106" s="184"/>
      <c r="C106" s="185"/>
      <c r="D106" s="349">
        <v>225</v>
      </c>
      <c r="E106" s="347">
        <v>399000</v>
      </c>
      <c r="F106" s="411" t="s">
        <v>180</v>
      </c>
      <c r="G106" s="170"/>
      <c r="H106" s="173" t="s">
        <v>343</v>
      </c>
    </row>
    <row r="107" spans="1:8" ht="36" customHeight="1">
      <c r="A107" s="184" t="s">
        <v>287</v>
      </c>
      <c r="B107" s="184"/>
      <c r="C107" s="185"/>
      <c r="D107" s="349">
        <v>225</v>
      </c>
      <c r="E107" s="347">
        <v>399000</v>
      </c>
      <c r="F107" s="411" t="s">
        <v>180</v>
      </c>
      <c r="G107" s="164"/>
      <c r="H107" s="192" t="s">
        <v>288</v>
      </c>
    </row>
    <row r="108" spans="1:8" ht="18" customHeight="1">
      <c r="A108" s="648" t="s">
        <v>46</v>
      </c>
      <c r="B108" s="649"/>
      <c r="C108" s="649"/>
      <c r="D108" s="649"/>
      <c r="E108" s="193"/>
      <c r="F108" s="194"/>
      <c r="G108" s="195"/>
      <c r="H108" s="192"/>
    </row>
    <row r="109" spans="1:8" ht="55.5" customHeight="1">
      <c r="A109" s="196" t="s">
        <v>179</v>
      </c>
      <c r="B109" s="197"/>
      <c r="C109" s="198">
        <v>244</v>
      </c>
      <c r="D109" s="199">
        <v>226</v>
      </c>
      <c r="E109" s="149"/>
      <c r="H109" s="149"/>
    </row>
    <row r="110" spans="1:8" ht="64.5" customHeight="1">
      <c r="A110" s="200" t="s">
        <v>309</v>
      </c>
      <c r="B110" s="201"/>
      <c r="C110" s="202"/>
      <c r="D110" s="413">
        <v>226</v>
      </c>
      <c r="E110" s="275">
        <f>286539+769.5-1539</f>
        <v>285769.5</v>
      </c>
      <c r="F110" s="275" t="s">
        <v>274</v>
      </c>
      <c r="G110" s="360" t="s">
        <v>310</v>
      </c>
      <c r="H110" s="192" t="s">
        <v>424</v>
      </c>
    </row>
    <row r="111" spans="1:8" ht="31.5" customHeight="1">
      <c r="A111" s="355" t="s">
        <v>546</v>
      </c>
      <c r="B111" s="546"/>
      <c r="C111" s="547"/>
      <c r="D111" s="548">
        <v>226</v>
      </c>
      <c r="E111" s="303">
        <f>30400+191+56730+3536</f>
        <v>90857</v>
      </c>
      <c r="F111" s="301" t="s">
        <v>273</v>
      </c>
      <c r="G111" s="545"/>
      <c r="H111" s="203" t="s">
        <v>545</v>
      </c>
    </row>
    <row r="112" spans="1:8" ht="50.25" customHeight="1">
      <c r="A112" s="355" t="s">
        <v>275</v>
      </c>
      <c r="B112" s="201"/>
      <c r="C112" s="202"/>
      <c r="D112" s="413">
        <v>226</v>
      </c>
      <c r="E112" s="333">
        <f>99854.5-3015</f>
        <v>96839.5</v>
      </c>
      <c r="F112" s="301" t="s">
        <v>273</v>
      </c>
      <c r="G112" s="205" t="s">
        <v>275</v>
      </c>
      <c r="H112" s="203" t="s">
        <v>325</v>
      </c>
    </row>
    <row r="113" spans="1:8" ht="17.25" customHeight="1">
      <c r="A113" s="355"/>
      <c r="B113" s="201"/>
      <c r="C113" s="202"/>
      <c r="D113" s="413">
        <v>226</v>
      </c>
      <c r="E113" s="333">
        <v>0</v>
      </c>
      <c r="F113" s="301" t="s">
        <v>273</v>
      </c>
      <c r="G113" s="205"/>
      <c r="H113" s="203"/>
    </row>
    <row r="114" spans="1:8" ht="18.75" customHeight="1">
      <c r="A114" s="355"/>
      <c r="B114" s="201"/>
      <c r="C114" s="202"/>
      <c r="D114" s="413">
        <v>226</v>
      </c>
      <c r="E114" s="591">
        <v>0</v>
      </c>
      <c r="F114" s="301" t="s">
        <v>273</v>
      </c>
      <c r="G114" s="205"/>
      <c r="H114" s="203"/>
    </row>
    <row r="115" spans="1:8" ht="28.5" customHeight="1">
      <c r="A115" s="355" t="s">
        <v>473</v>
      </c>
      <c r="B115" s="201"/>
      <c r="C115" s="202"/>
      <c r="D115" s="413">
        <v>226</v>
      </c>
      <c r="E115" s="476">
        <f>290506.5-23560-769.5+1539+2824-56730</f>
        <v>213810</v>
      </c>
      <c r="F115" s="411" t="s">
        <v>180</v>
      </c>
      <c r="G115" s="545" t="s">
        <v>512</v>
      </c>
      <c r="H115" s="203" t="s">
        <v>474</v>
      </c>
    </row>
    <row r="116" spans="1:8" ht="31.5" customHeight="1">
      <c r="A116" s="325" t="s">
        <v>278</v>
      </c>
      <c r="B116" s="325"/>
      <c r="C116" s="326"/>
      <c r="D116" s="327">
        <v>226</v>
      </c>
      <c r="E116" s="206"/>
      <c r="F116" s="172"/>
      <c r="G116" s="207"/>
      <c r="H116" s="171"/>
    </row>
    <row r="117" spans="1:8" ht="31.5" customHeight="1">
      <c r="A117" s="142" t="s">
        <v>279</v>
      </c>
      <c r="B117" s="318"/>
      <c r="C117" s="319"/>
      <c r="D117" s="244">
        <v>226</v>
      </c>
      <c r="E117" s="340">
        <v>24000</v>
      </c>
      <c r="F117" s="301" t="s">
        <v>273</v>
      </c>
      <c r="G117" s="207"/>
      <c r="H117" s="171" t="s">
        <v>294</v>
      </c>
    </row>
    <row r="118" spans="1:9" ht="33.75" customHeight="1" hidden="1">
      <c r="A118" s="80" t="s">
        <v>191</v>
      </c>
      <c r="B118" s="80" t="s">
        <v>201</v>
      </c>
      <c r="C118" s="80">
        <f>SUM(E119:E119)</f>
        <v>0</v>
      </c>
      <c r="D118" s="80"/>
      <c r="E118" s="208"/>
      <c r="F118" s="181"/>
      <c r="G118" s="209"/>
      <c r="H118" s="171"/>
      <c r="I118" s="210"/>
    </row>
    <row r="119" spans="1:8" ht="19.5" customHeight="1" hidden="1">
      <c r="A119" s="211"/>
      <c r="B119" s="212"/>
      <c r="C119" s="211"/>
      <c r="D119" s="211"/>
      <c r="E119" s="213"/>
      <c r="F119" s="205"/>
      <c r="G119" s="204"/>
      <c r="H119" s="214"/>
    </row>
    <row r="120" spans="1:8" ht="19.5" customHeight="1">
      <c r="A120" s="330" t="s">
        <v>281</v>
      </c>
      <c r="B120" s="331"/>
      <c r="C120" s="332"/>
      <c r="D120" s="332">
        <v>226</v>
      </c>
      <c r="E120" s="213"/>
      <c r="F120" s="205"/>
      <c r="G120" s="204"/>
      <c r="H120" s="214"/>
    </row>
    <row r="121" spans="1:8" ht="28.5" customHeight="1">
      <c r="A121" s="559" t="s">
        <v>527</v>
      </c>
      <c r="B121" s="9" t="s">
        <v>81</v>
      </c>
      <c r="C121" s="211"/>
      <c r="D121" s="211">
        <v>226</v>
      </c>
      <c r="E121" s="340">
        <v>80000</v>
      </c>
      <c r="F121" s="301" t="s">
        <v>273</v>
      </c>
      <c r="G121" s="204"/>
      <c r="H121" s="214" t="s">
        <v>528</v>
      </c>
    </row>
    <row r="122" spans="1:8" ht="29.25" customHeight="1">
      <c r="A122" s="571" t="s">
        <v>513</v>
      </c>
      <c r="B122" s="9" t="s">
        <v>81</v>
      </c>
      <c r="C122" s="572"/>
      <c r="D122" s="572">
        <v>310</v>
      </c>
      <c r="E122" s="477">
        <f>24673</f>
        <v>24673</v>
      </c>
      <c r="F122" s="411" t="s">
        <v>180</v>
      </c>
      <c r="G122" s="204"/>
      <c r="H122" s="214" t="s">
        <v>514</v>
      </c>
    </row>
    <row r="123" spans="1:8" ht="29.25" customHeight="1">
      <c r="A123" s="571" t="s">
        <v>517</v>
      </c>
      <c r="B123" s="9" t="s">
        <v>81</v>
      </c>
      <c r="C123" s="572"/>
      <c r="D123" s="572">
        <v>310</v>
      </c>
      <c r="E123" s="593">
        <f>120000</f>
        <v>120000</v>
      </c>
      <c r="F123" s="411" t="s">
        <v>180</v>
      </c>
      <c r="G123" s="204"/>
      <c r="H123" s="214" t="s">
        <v>540</v>
      </c>
    </row>
    <row r="124" spans="1:11" ht="35.25" customHeight="1">
      <c r="A124" s="328" t="s">
        <v>376</v>
      </c>
      <c r="B124" s="386" t="s">
        <v>377</v>
      </c>
      <c r="C124" s="329"/>
      <c r="D124" s="329"/>
      <c r="E124" s="190"/>
      <c r="F124" s="215"/>
      <c r="G124" s="178"/>
      <c r="H124" s="171"/>
      <c r="J124" s="216"/>
      <c r="K124" s="217"/>
    </row>
    <row r="125" spans="1:8" ht="15.75" customHeight="1">
      <c r="A125" s="627" t="s">
        <v>339</v>
      </c>
      <c r="B125" s="434" t="s">
        <v>332</v>
      </c>
      <c r="C125" s="218">
        <v>244</v>
      </c>
      <c r="D125" s="219">
        <v>226</v>
      </c>
      <c r="E125" s="118">
        <f>43200-21600</f>
        <v>21600</v>
      </c>
      <c r="F125" s="650" t="s">
        <v>273</v>
      </c>
      <c r="G125" s="640"/>
      <c r="H125" s="640" t="s">
        <v>422</v>
      </c>
    </row>
    <row r="126" spans="1:8" ht="15.75" customHeight="1">
      <c r="A126" s="628"/>
      <c r="B126" s="434" t="s">
        <v>214</v>
      </c>
      <c r="C126" s="218">
        <v>244</v>
      </c>
      <c r="D126" s="219">
        <v>226</v>
      </c>
      <c r="E126" s="118">
        <f>4800-2400</f>
        <v>2400</v>
      </c>
      <c r="F126" s="651"/>
      <c r="G126" s="641"/>
      <c r="H126" s="641"/>
    </row>
    <row r="127" spans="1:8" ht="15.75" customHeight="1">
      <c r="A127" s="627" t="s">
        <v>339</v>
      </c>
      <c r="B127" s="434" t="s">
        <v>332</v>
      </c>
      <c r="C127" s="218">
        <v>244</v>
      </c>
      <c r="D127" s="219">
        <v>226</v>
      </c>
      <c r="E127" s="118">
        <v>21600</v>
      </c>
      <c r="F127" s="654" t="s">
        <v>273</v>
      </c>
      <c r="G127" s="640"/>
      <c r="H127" s="640" t="s">
        <v>410</v>
      </c>
    </row>
    <row r="128" spans="1:8" ht="15.75" customHeight="1">
      <c r="A128" s="628"/>
      <c r="B128" s="434" t="s">
        <v>214</v>
      </c>
      <c r="C128" s="218">
        <v>244</v>
      </c>
      <c r="D128" s="219">
        <v>226</v>
      </c>
      <c r="E128" s="118">
        <v>2400</v>
      </c>
      <c r="F128" s="655"/>
      <c r="G128" s="641"/>
      <c r="H128" s="641"/>
    </row>
    <row r="129" spans="1:8" ht="15.75">
      <c r="A129" s="629" t="s">
        <v>340</v>
      </c>
      <c r="B129" s="434" t="s">
        <v>333</v>
      </c>
      <c r="C129" s="218">
        <v>244</v>
      </c>
      <c r="D129" s="219">
        <v>226</v>
      </c>
      <c r="E129" s="118">
        <v>10800</v>
      </c>
      <c r="F129" s="301" t="s">
        <v>273</v>
      </c>
      <c r="G129" s="625"/>
      <c r="H129" s="640" t="s">
        <v>404</v>
      </c>
    </row>
    <row r="130" spans="1:8" ht="15.75">
      <c r="A130" s="630"/>
      <c r="B130" s="434" t="s">
        <v>216</v>
      </c>
      <c r="C130" s="218">
        <v>244</v>
      </c>
      <c r="D130" s="219">
        <v>226</v>
      </c>
      <c r="E130" s="118">
        <v>1200</v>
      </c>
      <c r="F130" s="301" t="s">
        <v>273</v>
      </c>
      <c r="G130" s="626"/>
      <c r="H130" s="641"/>
    </row>
    <row r="131" spans="1:8" ht="15.75">
      <c r="A131" s="523"/>
      <c r="B131" s="524" t="s">
        <v>23</v>
      </c>
      <c r="C131" s="332"/>
      <c r="D131" s="332"/>
      <c r="E131" s="525"/>
      <c r="F131" s="526"/>
      <c r="G131" s="527"/>
      <c r="H131" s="528"/>
    </row>
    <row r="132" spans="1:8" ht="27.75" customHeight="1">
      <c r="A132" s="516" t="s">
        <v>483</v>
      </c>
      <c r="B132" s="521"/>
      <c r="C132" s="522"/>
      <c r="D132" s="211">
        <v>226</v>
      </c>
      <c r="E132" s="529">
        <v>90100</v>
      </c>
      <c r="F132" s="301" t="s">
        <v>273</v>
      </c>
      <c r="G132" s="515"/>
      <c r="H132" s="204" t="s">
        <v>488</v>
      </c>
    </row>
    <row r="133" spans="1:8" ht="28.5">
      <c r="A133" s="382" t="s">
        <v>210</v>
      </c>
      <c r="B133" s="331">
        <v>32102332</v>
      </c>
      <c r="C133" s="383">
        <f>SUM(E134:E141)</f>
        <v>950000</v>
      </c>
      <c r="D133" s="383"/>
      <c r="E133" s="220"/>
      <c r="F133" s="221"/>
      <c r="G133" s="204"/>
      <c r="H133" s="214"/>
    </row>
    <row r="134" spans="1:8" ht="48.75" customHeight="1">
      <c r="A134" s="141" t="s">
        <v>455</v>
      </c>
      <c r="B134" s="6" t="s">
        <v>162</v>
      </c>
      <c r="C134" s="142"/>
      <c r="D134" s="407">
        <v>225</v>
      </c>
      <c r="E134" s="412">
        <f>136564-45035</f>
        <v>91529</v>
      </c>
      <c r="F134" s="411" t="s">
        <v>180</v>
      </c>
      <c r="G134" s="178"/>
      <c r="H134" s="171" t="s">
        <v>456</v>
      </c>
    </row>
    <row r="135" spans="1:8" ht="40.5" customHeight="1">
      <c r="A135" s="141" t="s">
        <v>476</v>
      </c>
      <c r="B135" s="6" t="s">
        <v>162</v>
      </c>
      <c r="C135" s="142"/>
      <c r="D135" s="407">
        <v>225</v>
      </c>
      <c r="E135" s="412">
        <f>27117+45035</f>
        <v>72152</v>
      </c>
      <c r="F135" s="411" t="s">
        <v>180</v>
      </c>
      <c r="G135" s="178"/>
      <c r="H135" s="171" t="s">
        <v>477</v>
      </c>
    </row>
    <row r="136" spans="1:10" ht="51.75" customHeight="1">
      <c r="A136" s="388" t="s">
        <v>449</v>
      </c>
      <c r="B136" s="6" t="s">
        <v>162</v>
      </c>
      <c r="C136" s="142"/>
      <c r="D136" s="407">
        <v>225</v>
      </c>
      <c r="E136" s="481">
        <v>399521</v>
      </c>
      <c r="F136" s="446" t="s">
        <v>274</v>
      </c>
      <c r="G136" s="178" t="s">
        <v>403</v>
      </c>
      <c r="H136" s="171" t="s">
        <v>393</v>
      </c>
      <c r="J136" s="149">
        <v>350000</v>
      </c>
    </row>
    <row r="137" spans="1:10" ht="30">
      <c r="A137" s="141" t="s">
        <v>442</v>
      </c>
      <c r="B137" s="6" t="s">
        <v>162</v>
      </c>
      <c r="C137" s="142"/>
      <c r="D137" s="407">
        <v>225</v>
      </c>
      <c r="E137" s="271">
        <v>58199</v>
      </c>
      <c r="F137" s="301" t="s">
        <v>273</v>
      </c>
      <c r="G137" s="178"/>
      <c r="H137" s="171" t="s">
        <v>441</v>
      </c>
      <c r="J137" s="353">
        <f>E137+E138+E139+E140</f>
        <v>346798</v>
      </c>
    </row>
    <row r="138" spans="1:11" ht="30">
      <c r="A138" s="141" t="s">
        <v>425</v>
      </c>
      <c r="B138" s="6" t="s">
        <v>162</v>
      </c>
      <c r="C138" s="142"/>
      <c r="D138" s="458">
        <v>225</v>
      </c>
      <c r="E138" s="271">
        <v>87418</v>
      </c>
      <c r="F138" s="301" t="s">
        <v>273</v>
      </c>
      <c r="G138" s="353"/>
      <c r="H138" s="171" t="s">
        <v>423</v>
      </c>
      <c r="J138" s="216">
        <f>J136-J137</f>
        <v>3202</v>
      </c>
      <c r="K138" s="149" t="s">
        <v>447</v>
      </c>
    </row>
    <row r="139" spans="1:8" ht="30">
      <c r="A139" s="141" t="s">
        <v>439</v>
      </c>
      <c r="B139" s="6" t="s">
        <v>162</v>
      </c>
      <c r="C139" s="142"/>
      <c r="D139" s="458">
        <v>225</v>
      </c>
      <c r="E139" s="271">
        <v>67309</v>
      </c>
      <c r="F139" s="301" t="s">
        <v>273</v>
      </c>
      <c r="G139" s="178"/>
      <c r="H139" s="171" t="s">
        <v>440</v>
      </c>
    </row>
    <row r="140" spans="1:10" ht="30">
      <c r="A140" s="141" t="s">
        <v>445</v>
      </c>
      <c r="B140" s="6" t="s">
        <v>162</v>
      </c>
      <c r="C140" s="142"/>
      <c r="D140" s="458">
        <v>225</v>
      </c>
      <c r="E140" s="482">
        <v>133872</v>
      </c>
      <c r="F140" s="411" t="s">
        <v>180</v>
      </c>
      <c r="G140" s="178"/>
      <c r="H140" s="171" t="s">
        <v>446</v>
      </c>
      <c r="J140" s="149">
        <v>600000</v>
      </c>
    </row>
    <row r="141" spans="1:8" ht="31.5">
      <c r="A141" s="141" t="s">
        <v>453</v>
      </c>
      <c r="B141" s="6" t="s">
        <v>162</v>
      </c>
      <c r="C141" s="161"/>
      <c r="D141" s="387">
        <v>225</v>
      </c>
      <c r="E141" s="412">
        <f>200989-133872-27117</f>
        <v>40000</v>
      </c>
      <c r="F141" s="411" t="s">
        <v>180</v>
      </c>
      <c r="H141" s="171" t="s">
        <v>454</v>
      </c>
    </row>
    <row r="142" spans="1:10" ht="15">
      <c r="A142" s="408"/>
      <c r="B142" s="409"/>
      <c r="C142" s="410"/>
      <c r="D142" s="387"/>
      <c r="E142" s="587"/>
      <c r="F142" s="588"/>
      <c r="G142" s="178"/>
      <c r="H142" s="171"/>
      <c r="J142" s="216">
        <f>E136</f>
        <v>399521</v>
      </c>
    </row>
    <row r="143" spans="1:8" ht="20.25" customHeight="1" hidden="1">
      <c r="A143" s="669" t="s">
        <v>233</v>
      </c>
      <c r="B143" s="670"/>
      <c r="C143" s="670"/>
      <c r="D143" s="671"/>
      <c r="E143" s="222"/>
      <c r="F143" s="223"/>
      <c r="G143" s="178"/>
      <c r="H143" s="171"/>
    </row>
    <row r="144" spans="1:11" ht="20.25">
      <c r="A144" s="672" t="s">
        <v>365</v>
      </c>
      <c r="B144" s="673"/>
      <c r="C144" s="674"/>
      <c r="D144" s="226"/>
      <c r="E144" s="208"/>
      <c r="F144" s="227"/>
      <c r="G144" s="178"/>
      <c r="H144" s="171"/>
      <c r="J144" s="216">
        <f>J140-J142</f>
        <v>200479</v>
      </c>
      <c r="K144" s="149" t="s">
        <v>448</v>
      </c>
    </row>
    <row r="145" spans="1:8" ht="48.75" customHeight="1">
      <c r="A145" s="675" t="s">
        <v>366</v>
      </c>
      <c r="B145" s="676"/>
      <c r="C145" s="425"/>
      <c r="D145" s="426"/>
      <c r="E145" s="208"/>
      <c r="F145" s="228"/>
      <c r="G145" s="178"/>
      <c r="H145" s="171"/>
    </row>
    <row r="146" spans="1:8" ht="39" customHeight="1">
      <c r="A146" s="225" t="s">
        <v>387</v>
      </c>
      <c r="B146" s="427" t="s">
        <v>81</v>
      </c>
      <c r="C146" s="226"/>
      <c r="D146" s="229">
        <v>226</v>
      </c>
      <c r="E146" s="430">
        <f>195152.7-8250.6</f>
        <v>186902.1</v>
      </c>
      <c r="F146" s="411" t="s">
        <v>180</v>
      </c>
      <c r="G146" s="178"/>
      <c r="H146" s="171" t="s">
        <v>394</v>
      </c>
    </row>
    <row r="147" spans="1:8" ht="51.75" customHeight="1">
      <c r="A147" s="225" t="s">
        <v>380</v>
      </c>
      <c r="B147" s="427" t="s">
        <v>81</v>
      </c>
      <c r="C147" s="226"/>
      <c r="D147" s="229">
        <v>226</v>
      </c>
      <c r="E147" s="429">
        <v>8250.6</v>
      </c>
      <c r="F147" s="301" t="s">
        <v>273</v>
      </c>
      <c r="G147" s="178"/>
      <c r="H147" s="441" t="s">
        <v>379</v>
      </c>
    </row>
    <row r="148" spans="1:8" ht="30.75" customHeight="1">
      <c r="A148" s="442" t="s">
        <v>386</v>
      </c>
      <c r="B148" s="427" t="s">
        <v>81</v>
      </c>
      <c r="C148" s="226"/>
      <c r="D148" s="229">
        <v>226</v>
      </c>
      <c r="E148" s="429">
        <v>2985.5</v>
      </c>
      <c r="F148" s="301" t="s">
        <v>273</v>
      </c>
      <c r="G148" s="416"/>
      <c r="H148" s="457" t="s">
        <v>414</v>
      </c>
    </row>
    <row r="149" spans="1:8" ht="30.75" customHeight="1">
      <c r="A149" s="442" t="s">
        <v>386</v>
      </c>
      <c r="B149" s="427" t="s">
        <v>81</v>
      </c>
      <c r="C149" s="226"/>
      <c r="D149" s="229">
        <v>226</v>
      </c>
      <c r="E149" s="429">
        <v>2985.5</v>
      </c>
      <c r="F149" s="301" t="s">
        <v>273</v>
      </c>
      <c r="G149" s="416"/>
      <c r="H149" s="474" t="s">
        <v>430</v>
      </c>
    </row>
    <row r="150" spans="1:8" ht="30.75" customHeight="1">
      <c r="A150" s="442" t="s">
        <v>386</v>
      </c>
      <c r="B150" s="427">
        <v>14110650000000000</v>
      </c>
      <c r="C150" s="226"/>
      <c r="D150" s="229">
        <v>226</v>
      </c>
      <c r="E150" s="429">
        <v>20443.5</v>
      </c>
      <c r="F150" s="301" t="s">
        <v>273</v>
      </c>
      <c r="G150" s="416"/>
      <c r="H150" s="474" t="s">
        <v>430</v>
      </c>
    </row>
    <row r="151" spans="1:8" ht="30.75" customHeight="1">
      <c r="A151" s="442" t="s">
        <v>386</v>
      </c>
      <c r="B151" s="427">
        <v>14110650000000000</v>
      </c>
      <c r="C151" s="226"/>
      <c r="D151" s="229">
        <v>226</v>
      </c>
      <c r="E151" s="429">
        <v>20443.5</v>
      </c>
      <c r="F151" s="301" t="s">
        <v>273</v>
      </c>
      <c r="G151" s="416"/>
      <c r="H151" s="457" t="s">
        <v>414</v>
      </c>
    </row>
    <row r="152" spans="1:8" ht="35.25" customHeight="1">
      <c r="A152" s="424" t="s">
        <v>164</v>
      </c>
      <c r="B152" s="427">
        <v>14110650000000000</v>
      </c>
      <c r="C152" s="226"/>
      <c r="D152" s="229">
        <v>226</v>
      </c>
      <c r="E152" s="430">
        <f>148024.8-31017</f>
        <v>117007.79999999999</v>
      </c>
      <c r="F152" s="411" t="s">
        <v>180</v>
      </c>
      <c r="G152" s="416"/>
      <c r="H152" s="444" t="s">
        <v>395</v>
      </c>
    </row>
    <row r="153" spans="1:8" ht="33.75" customHeight="1">
      <c r="A153" s="424" t="s">
        <v>418</v>
      </c>
      <c r="B153" s="427">
        <v>14110650000000000</v>
      </c>
      <c r="C153" s="226"/>
      <c r="D153" s="229">
        <v>226</v>
      </c>
      <c r="E153" s="429">
        <v>31017</v>
      </c>
      <c r="F153" s="301" t="s">
        <v>273</v>
      </c>
      <c r="G153" s="416"/>
      <c r="H153" s="178" t="s">
        <v>419</v>
      </c>
    </row>
    <row r="154" spans="1:8" ht="33.75" customHeight="1">
      <c r="A154" s="442" t="s">
        <v>386</v>
      </c>
      <c r="B154" s="427" t="s">
        <v>196</v>
      </c>
      <c r="C154" s="226"/>
      <c r="D154" s="229">
        <v>226</v>
      </c>
      <c r="E154" s="429">
        <v>2271.5</v>
      </c>
      <c r="F154" s="301" t="s">
        <v>273</v>
      </c>
      <c r="G154" s="416"/>
      <c r="H154" s="474" t="s">
        <v>430</v>
      </c>
    </row>
    <row r="155" spans="1:8" ht="33" customHeight="1">
      <c r="A155" s="442" t="s">
        <v>386</v>
      </c>
      <c r="B155" s="427" t="s">
        <v>196</v>
      </c>
      <c r="C155" s="226"/>
      <c r="D155" s="229">
        <v>226</v>
      </c>
      <c r="E155" s="429">
        <v>2271.5</v>
      </c>
      <c r="F155" s="301" t="s">
        <v>273</v>
      </c>
      <c r="G155" s="416"/>
      <c r="H155" s="457" t="s">
        <v>414</v>
      </c>
    </row>
    <row r="156" spans="1:8" ht="37.5" customHeight="1">
      <c r="A156" s="424" t="s">
        <v>164</v>
      </c>
      <c r="B156" s="427" t="s">
        <v>196</v>
      </c>
      <c r="C156" s="226"/>
      <c r="D156" s="230">
        <v>226</v>
      </c>
      <c r="E156" s="430">
        <v>7593.6</v>
      </c>
      <c r="F156" s="411" t="s">
        <v>180</v>
      </c>
      <c r="G156" s="178"/>
      <c r="H156" s="444" t="s">
        <v>395</v>
      </c>
    </row>
    <row r="157" spans="1:10" ht="48.75" customHeight="1">
      <c r="A157" s="231" t="s">
        <v>369</v>
      </c>
      <c r="B157" s="427" t="s">
        <v>196</v>
      </c>
      <c r="C157" s="226"/>
      <c r="D157" s="229">
        <v>227</v>
      </c>
      <c r="E157" s="429">
        <v>2272.2</v>
      </c>
      <c r="F157" s="301" t="s">
        <v>273</v>
      </c>
      <c r="G157" s="178"/>
      <c r="H157" s="171" t="s">
        <v>399</v>
      </c>
      <c r="J157" s="217"/>
    </row>
    <row r="158" spans="1:8" ht="30">
      <c r="A158" s="231" t="s">
        <v>165</v>
      </c>
      <c r="B158" s="427" t="s">
        <v>196</v>
      </c>
      <c r="C158" s="226"/>
      <c r="D158" s="229">
        <v>341</v>
      </c>
      <c r="E158" s="429">
        <v>2625</v>
      </c>
      <c r="F158" s="301" t="s">
        <v>273</v>
      </c>
      <c r="G158" s="178"/>
      <c r="H158" s="171" t="s">
        <v>383</v>
      </c>
    </row>
    <row r="159" spans="1:8" ht="30">
      <c r="A159" s="231" t="s">
        <v>407</v>
      </c>
      <c r="B159" s="427" t="s">
        <v>196</v>
      </c>
      <c r="C159" s="226"/>
      <c r="D159" s="229">
        <v>346</v>
      </c>
      <c r="E159" s="429">
        <v>2625</v>
      </c>
      <c r="F159" s="301" t="s">
        <v>273</v>
      </c>
      <c r="G159" s="178"/>
      <c r="H159" s="171" t="s">
        <v>409</v>
      </c>
    </row>
    <row r="160" spans="1:8" ht="30">
      <c r="A160" s="224" t="s">
        <v>408</v>
      </c>
      <c r="B160" s="427" t="s">
        <v>196</v>
      </c>
      <c r="C160" s="226"/>
      <c r="D160" s="229">
        <v>346</v>
      </c>
      <c r="E160" s="429">
        <f>3956.4-2625</f>
        <v>1331.4</v>
      </c>
      <c r="F160" s="301" t="s">
        <v>273</v>
      </c>
      <c r="G160" s="178"/>
      <c r="H160" s="171" t="s">
        <v>411</v>
      </c>
    </row>
    <row r="161" spans="1:8" ht="24.75" customHeight="1">
      <c r="A161" s="675" t="s">
        <v>368</v>
      </c>
      <c r="B161" s="676"/>
      <c r="C161" s="676"/>
      <c r="D161" s="677"/>
      <c r="E161" s="208"/>
      <c r="F161" s="215"/>
      <c r="G161" s="178"/>
      <c r="H161" s="384"/>
    </row>
    <row r="162" spans="1:8" ht="36.75" customHeight="1">
      <c r="A162" s="428" t="s">
        <v>382</v>
      </c>
      <c r="B162" s="427" t="s">
        <v>81</v>
      </c>
      <c r="C162" s="226"/>
      <c r="D162" s="229">
        <v>225</v>
      </c>
      <c r="E162" s="429">
        <v>1915.2</v>
      </c>
      <c r="F162" s="658" t="s">
        <v>273</v>
      </c>
      <c r="G162" s="640"/>
      <c r="H162" s="656" t="s">
        <v>379</v>
      </c>
    </row>
    <row r="163" spans="1:8" ht="15.75" customHeight="1">
      <c r="A163" s="428" t="s">
        <v>381</v>
      </c>
      <c r="B163" s="427" t="s">
        <v>81</v>
      </c>
      <c r="C163" s="232"/>
      <c r="D163" s="229">
        <v>226</v>
      </c>
      <c r="E163" s="429">
        <v>7149.4</v>
      </c>
      <c r="F163" s="659"/>
      <c r="G163" s="641"/>
      <c r="H163" s="657"/>
    </row>
    <row r="164" spans="1:8" ht="15.75" customHeight="1">
      <c r="A164" s="428" t="s">
        <v>378</v>
      </c>
      <c r="B164" s="427" t="s">
        <v>81</v>
      </c>
      <c r="C164" s="226"/>
      <c r="D164" s="229">
        <v>225</v>
      </c>
      <c r="E164" s="429">
        <f>2815.2-1915.2</f>
        <v>899.9999999999998</v>
      </c>
      <c r="F164" s="654" t="s">
        <v>273</v>
      </c>
      <c r="G164" s="640"/>
      <c r="H164" s="640" t="s">
        <v>389</v>
      </c>
    </row>
    <row r="165" spans="1:10" ht="15.75" customHeight="1">
      <c r="A165" s="428" t="s">
        <v>390</v>
      </c>
      <c r="B165" s="427" t="s">
        <v>81</v>
      </c>
      <c r="C165" s="232"/>
      <c r="D165" s="229">
        <v>226</v>
      </c>
      <c r="E165" s="272">
        <f>13427.57-7149.4-5901.97</f>
        <v>376.1999999999998</v>
      </c>
      <c r="F165" s="655"/>
      <c r="G165" s="641"/>
      <c r="H165" s="641"/>
      <c r="J165" s="217"/>
    </row>
    <row r="166" spans="1:10" ht="30">
      <c r="A166" s="443" t="s">
        <v>388</v>
      </c>
      <c r="B166" s="427" t="s">
        <v>81</v>
      </c>
      <c r="C166" s="232"/>
      <c r="D166" s="229">
        <v>226</v>
      </c>
      <c r="E166" s="272">
        <v>5901.97</v>
      </c>
      <c r="F166" s="301" t="s">
        <v>273</v>
      </c>
      <c r="G166" s="178"/>
      <c r="H166" s="171" t="s">
        <v>421</v>
      </c>
      <c r="J166" s="217"/>
    </row>
    <row r="167" spans="1:10" ht="45">
      <c r="A167" s="231" t="s">
        <v>369</v>
      </c>
      <c r="B167" s="427" t="s">
        <v>81</v>
      </c>
      <c r="C167" s="232"/>
      <c r="D167" s="229">
        <v>227</v>
      </c>
      <c r="E167" s="272">
        <v>3408.3</v>
      </c>
      <c r="F167" s="301" t="s">
        <v>273</v>
      </c>
      <c r="G167" s="178"/>
      <c r="H167" s="171" t="s">
        <v>400</v>
      </c>
      <c r="J167" s="217"/>
    </row>
    <row r="168" spans="1:10" ht="30">
      <c r="A168" s="231" t="s">
        <v>165</v>
      </c>
      <c r="B168" s="427" t="s">
        <v>81</v>
      </c>
      <c r="C168" s="232"/>
      <c r="D168" s="229">
        <v>341</v>
      </c>
      <c r="E168" s="272">
        <v>3937.5</v>
      </c>
      <c r="F168" s="301" t="s">
        <v>273</v>
      </c>
      <c r="G168" s="178"/>
      <c r="H168" s="171" t="s">
        <v>384</v>
      </c>
      <c r="J168" s="217"/>
    </row>
    <row r="169" spans="1:10" ht="30">
      <c r="A169" s="428" t="s">
        <v>413</v>
      </c>
      <c r="B169" s="427" t="s">
        <v>81</v>
      </c>
      <c r="C169" s="232"/>
      <c r="D169" s="229">
        <v>346</v>
      </c>
      <c r="E169" s="272">
        <f>7087.63-3937.63</f>
        <v>3150</v>
      </c>
      <c r="F169" s="301" t="s">
        <v>273</v>
      </c>
      <c r="G169" s="178"/>
      <c r="H169" s="171" t="s">
        <v>412</v>
      </c>
      <c r="J169" s="217"/>
    </row>
    <row r="170" spans="1:10" ht="30">
      <c r="A170" s="428" t="s">
        <v>401</v>
      </c>
      <c r="B170" s="427" t="s">
        <v>81</v>
      </c>
      <c r="C170" s="232"/>
      <c r="D170" s="229">
        <v>346</v>
      </c>
      <c r="E170" s="272">
        <v>3937.63</v>
      </c>
      <c r="F170" s="301" t="s">
        <v>273</v>
      </c>
      <c r="G170" s="178"/>
      <c r="H170" s="445" t="s">
        <v>402</v>
      </c>
      <c r="J170" s="217"/>
    </row>
    <row r="171" spans="1:10" ht="30">
      <c r="A171" s="428" t="s">
        <v>367</v>
      </c>
      <c r="B171" s="427" t="s">
        <v>81</v>
      </c>
      <c r="C171" s="232"/>
      <c r="D171" s="229">
        <v>349</v>
      </c>
      <c r="E171" s="272">
        <v>3823.8</v>
      </c>
      <c r="F171" s="301" t="s">
        <v>273</v>
      </c>
      <c r="G171" s="178"/>
      <c r="H171" s="171" t="s">
        <v>396</v>
      </c>
      <c r="J171" s="217"/>
    </row>
    <row r="172" spans="1:8" ht="30">
      <c r="A172" s="589" t="s">
        <v>518</v>
      </c>
      <c r="B172" s="589"/>
      <c r="C172" s="589"/>
      <c r="D172" s="590">
        <v>310</v>
      </c>
      <c r="E172" s="592">
        <f>105000</f>
        <v>105000</v>
      </c>
      <c r="F172" s="301" t="s">
        <v>273</v>
      </c>
      <c r="G172" s="233"/>
      <c r="H172" s="203" t="s">
        <v>539</v>
      </c>
    </row>
    <row r="173" spans="1:17" ht="15.75" customHeight="1">
      <c r="A173" s="667" t="s">
        <v>19</v>
      </c>
      <c r="B173" s="668"/>
      <c r="C173" s="668"/>
      <c r="D173" s="668"/>
      <c r="E173" s="234"/>
      <c r="F173" s="172"/>
      <c r="G173" s="160"/>
      <c r="H173" s="192"/>
      <c r="J173" s="235"/>
      <c r="K173" s="235"/>
      <c r="L173" s="235"/>
      <c r="M173" s="235"/>
      <c r="N173" s="235"/>
      <c r="O173" s="235"/>
      <c r="P173" s="235"/>
      <c r="Q173" s="235"/>
    </row>
    <row r="174" spans="1:17" ht="15.75" customHeight="1">
      <c r="A174" s="665" t="s">
        <v>156</v>
      </c>
      <c r="B174" s="666"/>
      <c r="C174" s="666"/>
      <c r="D174" s="666"/>
      <c r="E174" s="299"/>
      <c r="F174" s="293"/>
      <c r="G174" s="293"/>
      <c r="H174" s="300"/>
      <c r="J174" s="235"/>
      <c r="K174" s="236"/>
      <c r="L174" s="237"/>
      <c r="M174" s="238"/>
      <c r="N174" s="239"/>
      <c r="O174" s="240"/>
      <c r="P174" s="241"/>
      <c r="Q174" s="235"/>
    </row>
    <row r="175" spans="1:17" ht="21.75" customHeight="1">
      <c r="A175" s="168" t="s">
        <v>168</v>
      </c>
      <c r="B175" s="242"/>
      <c r="C175" s="243">
        <v>244</v>
      </c>
      <c r="D175" s="244">
        <v>226</v>
      </c>
      <c r="E175" s="570">
        <v>0</v>
      </c>
      <c r="F175" s="455" t="s">
        <v>509</v>
      </c>
      <c r="G175" s="245"/>
      <c r="H175" s="214"/>
      <c r="J175" s="235"/>
      <c r="K175" s="241"/>
      <c r="L175" s="246"/>
      <c r="M175" s="247"/>
      <c r="N175" s="248"/>
      <c r="O175" s="249"/>
      <c r="P175" s="250"/>
      <c r="Q175" s="235"/>
    </row>
    <row r="176" spans="1:17" ht="29.25" customHeight="1">
      <c r="A176" s="168" t="s">
        <v>416</v>
      </c>
      <c r="B176" s="242"/>
      <c r="C176" s="243">
        <v>244</v>
      </c>
      <c r="D176" s="244">
        <v>226</v>
      </c>
      <c r="E176" s="302">
        <v>2425.26</v>
      </c>
      <c r="F176" s="301" t="s">
        <v>273</v>
      </c>
      <c r="G176" s="245"/>
      <c r="H176" s="214" t="s">
        <v>420</v>
      </c>
      <c r="J176" s="235"/>
      <c r="K176" s="241"/>
      <c r="L176" s="246"/>
      <c r="M176" s="247"/>
      <c r="N176" s="248"/>
      <c r="O176" s="249"/>
      <c r="P176" s="250"/>
      <c r="Q176" s="235"/>
    </row>
    <row r="177" spans="1:17" ht="31.5" customHeight="1">
      <c r="A177" s="168" t="s">
        <v>416</v>
      </c>
      <c r="B177" s="242"/>
      <c r="C177" s="243">
        <v>244</v>
      </c>
      <c r="D177" s="244">
        <v>226</v>
      </c>
      <c r="E177" s="302">
        <v>18189.46</v>
      </c>
      <c r="F177" s="301" t="s">
        <v>273</v>
      </c>
      <c r="G177" s="245"/>
      <c r="H177" s="214" t="s">
        <v>417</v>
      </c>
      <c r="J177" s="235"/>
      <c r="K177" s="241"/>
      <c r="L177" s="246"/>
      <c r="M177" s="247"/>
      <c r="N177" s="248"/>
      <c r="O177" s="249"/>
      <c r="P177" s="250"/>
      <c r="Q177" s="235"/>
    </row>
    <row r="178" spans="1:17" ht="32.25" customHeight="1">
      <c r="A178" s="168" t="s">
        <v>345</v>
      </c>
      <c r="B178" s="242"/>
      <c r="C178" s="243">
        <v>244</v>
      </c>
      <c r="D178" s="244">
        <v>310</v>
      </c>
      <c r="E178" s="302">
        <v>35000</v>
      </c>
      <c r="F178" s="301" t="s">
        <v>273</v>
      </c>
      <c r="G178" s="160"/>
      <c r="H178" s="203" t="s">
        <v>443</v>
      </c>
      <c r="J178" s="235"/>
      <c r="K178" s="246"/>
      <c r="L178" s="246"/>
      <c r="M178" s="238"/>
      <c r="N178" s="239"/>
      <c r="O178" s="249"/>
      <c r="P178" s="250"/>
      <c r="Q178" s="235"/>
    </row>
    <row r="179" spans="1:17" ht="30.75" customHeight="1">
      <c r="A179" s="214" t="s">
        <v>495</v>
      </c>
      <c r="B179" s="227"/>
      <c r="C179" s="552">
        <v>244</v>
      </c>
      <c r="D179" s="164">
        <v>310</v>
      </c>
      <c r="E179" s="302">
        <v>2504.12</v>
      </c>
      <c r="F179" s="301" t="s">
        <v>273</v>
      </c>
      <c r="G179" s="160"/>
      <c r="H179" s="203" t="s">
        <v>496</v>
      </c>
      <c r="J179" s="235"/>
      <c r="K179" s="241"/>
      <c r="L179" s="246"/>
      <c r="M179" s="247"/>
      <c r="N179" s="248"/>
      <c r="O179" s="249"/>
      <c r="P179" s="250"/>
      <c r="Q179" s="235"/>
    </row>
    <row r="180" spans="1:17" ht="12.75" customHeight="1">
      <c r="A180" s="203"/>
      <c r="B180" s="245"/>
      <c r="C180" s="251"/>
      <c r="D180" s="252"/>
      <c r="E180" s="188"/>
      <c r="F180" s="172"/>
      <c r="G180" s="160"/>
      <c r="H180" s="203"/>
      <c r="J180" s="235"/>
      <c r="K180" s="237"/>
      <c r="L180" s="246"/>
      <c r="M180" s="238"/>
      <c r="N180" s="248"/>
      <c r="O180" s="249"/>
      <c r="P180" s="250"/>
      <c r="Q180" s="235"/>
    </row>
    <row r="181" spans="1:17" ht="13.5" customHeight="1" hidden="1">
      <c r="A181" s="663" t="s">
        <v>158</v>
      </c>
      <c r="B181" s="664"/>
      <c r="C181" s="664"/>
      <c r="D181" s="664"/>
      <c r="E181" s="253"/>
      <c r="F181" s="172"/>
      <c r="G181" s="160"/>
      <c r="H181" s="254"/>
      <c r="J181" s="235"/>
      <c r="K181" s="237"/>
      <c r="L181" s="246"/>
      <c r="M181" s="238"/>
      <c r="N181" s="248"/>
      <c r="O181" s="249"/>
      <c r="P181" s="250"/>
      <c r="Q181" s="235"/>
    </row>
    <row r="182" spans="1:17" ht="36" customHeight="1" hidden="1">
      <c r="A182" s="255" t="s">
        <v>160</v>
      </c>
      <c r="B182" s="256"/>
      <c r="C182" s="257">
        <v>244</v>
      </c>
      <c r="D182" s="258">
        <v>225</v>
      </c>
      <c r="E182" s="169"/>
      <c r="F182" s="172"/>
      <c r="G182" s="227"/>
      <c r="H182" s="254"/>
      <c r="J182" s="235"/>
      <c r="K182" s="241"/>
      <c r="L182" s="246"/>
      <c r="M182" s="238"/>
      <c r="N182" s="248"/>
      <c r="O182" s="249"/>
      <c r="P182" s="250"/>
      <c r="Q182" s="235"/>
    </row>
    <row r="183" spans="1:17" ht="27.75" customHeight="1" hidden="1">
      <c r="A183" s="255" t="s">
        <v>171</v>
      </c>
      <c r="B183" s="256"/>
      <c r="C183" s="257">
        <v>244</v>
      </c>
      <c r="D183" s="259">
        <v>226</v>
      </c>
      <c r="E183" s="161"/>
      <c r="F183" s="172"/>
      <c r="G183" s="227"/>
      <c r="H183" s="254"/>
      <c r="J183" s="235"/>
      <c r="K183" s="241"/>
      <c r="L183" s="246"/>
      <c r="M183" s="238"/>
      <c r="N183" s="248"/>
      <c r="O183" s="249"/>
      <c r="P183" s="250"/>
      <c r="Q183" s="235"/>
    </row>
    <row r="184" spans="1:17" ht="13.5" customHeight="1" hidden="1">
      <c r="A184" s="255" t="s">
        <v>170</v>
      </c>
      <c r="B184" s="256"/>
      <c r="C184" s="257">
        <v>244</v>
      </c>
      <c r="D184" s="259">
        <v>226</v>
      </c>
      <c r="E184" s="161"/>
      <c r="F184" s="172"/>
      <c r="G184" s="172"/>
      <c r="H184" s="254"/>
      <c r="J184" s="235"/>
      <c r="K184" s="241"/>
      <c r="L184" s="246"/>
      <c r="M184" s="238"/>
      <c r="N184" s="248"/>
      <c r="O184" s="249"/>
      <c r="P184" s="250"/>
      <c r="Q184" s="235"/>
    </row>
    <row r="185" spans="1:17" ht="24.75" customHeight="1" hidden="1">
      <c r="A185" s="255" t="s">
        <v>167</v>
      </c>
      <c r="B185" s="256"/>
      <c r="C185" s="257">
        <v>244</v>
      </c>
      <c r="D185" s="259">
        <v>226</v>
      </c>
      <c r="E185" s="161"/>
      <c r="F185" s="172"/>
      <c r="G185" s="227"/>
      <c r="H185" s="254"/>
      <c r="J185" s="235"/>
      <c r="K185" s="241"/>
      <c r="L185" s="246"/>
      <c r="M185" s="238"/>
      <c r="N185" s="248"/>
      <c r="O185" s="249"/>
      <c r="P185" s="250"/>
      <c r="Q185" s="235"/>
    </row>
    <row r="186" spans="1:17" ht="32.25" customHeight="1" hidden="1">
      <c r="A186" s="255" t="s">
        <v>161</v>
      </c>
      <c r="B186" s="256"/>
      <c r="C186" s="257">
        <v>244</v>
      </c>
      <c r="D186" s="259">
        <v>340</v>
      </c>
      <c r="E186" s="161"/>
      <c r="F186" s="172"/>
      <c r="G186" s="260"/>
      <c r="H186" s="254"/>
      <c r="J186" s="235"/>
      <c r="K186" s="237"/>
      <c r="L186" s="261"/>
      <c r="M186" s="238"/>
      <c r="N186" s="248"/>
      <c r="O186" s="249"/>
      <c r="P186" s="250"/>
      <c r="Q186" s="235"/>
    </row>
    <row r="187" spans="1:17" ht="30.75" customHeight="1" hidden="1">
      <c r="A187" s="255" t="s">
        <v>169</v>
      </c>
      <c r="B187" s="256"/>
      <c r="C187" s="257">
        <v>244</v>
      </c>
      <c r="D187" s="259">
        <v>340</v>
      </c>
      <c r="E187" s="161"/>
      <c r="F187" s="172"/>
      <c r="G187" s="227"/>
      <c r="H187" s="254"/>
      <c r="J187" s="235"/>
      <c r="K187" s="262"/>
      <c r="L187" s="246"/>
      <c r="M187" s="247"/>
      <c r="N187" s="248"/>
      <c r="O187" s="246"/>
      <c r="P187" s="246"/>
      <c r="Q187" s="235"/>
    </row>
    <row r="188" spans="1:17" ht="26.25" customHeight="1" hidden="1">
      <c r="A188" s="255" t="s">
        <v>165</v>
      </c>
      <c r="B188" s="256"/>
      <c r="C188" s="257">
        <v>244</v>
      </c>
      <c r="D188" s="259">
        <v>340</v>
      </c>
      <c r="E188" s="161"/>
      <c r="F188" s="172"/>
      <c r="G188" s="227"/>
      <c r="H188" s="254"/>
      <c r="J188" s="235"/>
      <c r="K188" s="237"/>
      <c r="L188" s="246"/>
      <c r="M188" s="247"/>
      <c r="N188" s="248"/>
      <c r="O188" s="249"/>
      <c r="P188" s="250"/>
      <c r="Q188" s="235"/>
    </row>
    <row r="189" spans="1:17" ht="26.25" customHeight="1">
      <c r="A189" s="263"/>
      <c r="B189" s="237"/>
      <c r="C189" s="264"/>
      <c r="D189" s="248"/>
      <c r="E189" s="265"/>
      <c r="F189" s="266"/>
      <c r="G189" s="267"/>
      <c r="H189" s="254"/>
      <c r="J189" s="235"/>
      <c r="K189" s="262"/>
      <c r="L189" s="246"/>
      <c r="M189" s="247"/>
      <c r="N189" s="248"/>
      <c r="O189" s="240"/>
      <c r="P189" s="240"/>
      <c r="Q189" s="235"/>
    </row>
    <row r="190" spans="1:17" ht="27.75" customHeight="1">
      <c r="A190" s="245"/>
      <c r="B190" s="245"/>
      <c r="C190" s="251"/>
      <c r="D190" s="252"/>
      <c r="E190" s="185" t="s">
        <v>30</v>
      </c>
      <c r="F190" s="245" t="s">
        <v>31</v>
      </c>
      <c r="G190" s="160" t="s">
        <v>182</v>
      </c>
      <c r="H190" s="148"/>
      <c r="J190" s="235"/>
      <c r="K190" s="237"/>
      <c r="L190" s="246"/>
      <c r="M190" s="247"/>
      <c r="N190" s="248"/>
      <c r="O190" s="249"/>
      <c r="P190" s="250"/>
      <c r="Q190" s="235"/>
    </row>
    <row r="191" spans="1:17" ht="13.5" customHeight="1">
      <c r="A191" s="606" t="s">
        <v>531</v>
      </c>
      <c r="B191" s="268" t="s">
        <v>180</v>
      </c>
      <c r="C191" s="660" t="s">
        <v>535</v>
      </c>
      <c r="D191" s="611">
        <v>0.5</v>
      </c>
      <c r="E191" s="619">
        <f>E8*D191</f>
        <v>3841301.2699999996</v>
      </c>
      <c r="F191" s="412">
        <f>E102+E98+E101+E107+E104+E141+E106+E100+E146+E152+E156+E103+E105+E134+E99+E115+E82+E83+E140+E135+E122+E123</f>
        <v>3728570.5100000002</v>
      </c>
      <c r="G191" s="306">
        <f>E191-F191</f>
        <v>112730.75999999931</v>
      </c>
      <c r="H191" s="148"/>
      <c r="J191" s="235"/>
      <c r="K191" s="237"/>
      <c r="L191" s="246"/>
      <c r="M191" s="247"/>
      <c r="N191" s="248"/>
      <c r="O191" s="249"/>
      <c r="P191" s="250"/>
      <c r="Q191" s="235"/>
    </row>
    <row r="192" spans="1:17" ht="13.5" customHeight="1">
      <c r="A192" s="606" t="s">
        <v>532</v>
      </c>
      <c r="B192" s="268" t="s">
        <v>181</v>
      </c>
      <c r="C192" s="661"/>
      <c r="D192" s="611" t="s">
        <v>32</v>
      </c>
      <c r="E192" s="619">
        <v>2000000</v>
      </c>
      <c r="F192" s="271">
        <f>E10+E11+E13+E15+E19+E21+E22+E23+E24+E25+E26+E27+E33+E34+E39+E47+E49+E50+E52+E53+E54+E55+E56+E57+E59+E60+E61+E62+E63+E64+E65+E66+E67+E69+E73+E75+E76+E77+E79+E80+E86+E87+E89+E112+E117+E121+E125+E126+E127+E128+E129+E130+E137+E138+E139+E147+E148+E149+E150+E151+E153+E154+E155+E157+E158+E159+E160+E162+E163+E164+E165+E166+E167+E168+E169+E170+E171+E176+E177+E178+E32+E58+E42+E179+E132+E31+E111+E74+E38+E30+E28+E113+E35+E37+E36+E172+E114+E70+E72+E71</f>
        <v>1972622.5499999998</v>
      </c>
      <c r="G192" s="272">
        <f>E192-F192</f>
        <v>27377.450000000186</v>
      </c>
      <c r="H192" s="273"/>
      <c r="J192" s="235"/>
      <c r="K192" s="237"/>
      <c r="L192" s="246"/>
      <c r="M192" s="238"/>
      <c r="N192" s="248"/>
      <c r="O192" s="249"/>
      <c r="P192" s="250"/>
      <c r="Q192" s="235"/>
    </row>
    <row r="193" spans="1:17" ht="40.5" customHeight="1">
      <c r="A193" s="245" t="s">
        <v>533</v>
      </c>
      <c r="B193" s="268" t="s">
        <v>33</v>
      </c>
      <c r="C193" s="661"/>
      <c r="D193" s="269"/>
      <c r="E193" s="270"/>
      <c r="F193" s="607"/>
      <c r="G193" s="608"/>
      <c r="H193" s="148"/>
      <c r="J193" s="235"/>
      <c r="K193" s="235"/>
      <c r="L193" s="235"/>
      <c r="M193" s="235"/>
      <c r="N193" s="235"/>
      <c r="O193" s="235"/>
      <c r="P193" s="235"/>
      <c r="Q193" s="235"/>
    </row>
    <row r="194" spans="1:8" ht="13.5" customHeight="1">
      <c r="A194" s="160" t="s">
        <v>34</v>
      </c>
      <c r="B194" s="268" t="s">
        <v>185</v>
      </c>
      <c r="C194" s="661"/>
      <c r="D194" s="172"/>
      <c r="E194" s="274"/>
      <c r="F194" s="159">
        <f>E44</f>
        <v>392874.71</v>
      </c>
      <c r="G194" s="160"/>
      <c r="H194" s="148"/>
    </row>
    <row r="195" spans="1:8" ht="13.5" customHeight="1">
      <c r="A195" s="160" t="s">
        <v>35</v>
      </c>
      <c r="B195" s="268" t="s">
        <v>36</v>
      </c>
      <c r="C195" s="661"/>
      <c r="D195" s="172"/>
      <c r="E195" s="274"/>
      <c r="F195" s="159">
        <f>E48</f>
        <v>430430</v>
      </c>
      <c r="G195" s="160"/>
      <c r="H195" s="148"/>
    </row>
    <row r="196" spans="1:8" ht="13.5" customHeight="1">
      <c r="A196" s="160" t="s">
        <v>37</v>
      </c>
      <c r="B196" s="268" t="s">
        <v>38</v>
      </c>
      <c r="C196" s="661"/>
      <c r="D196" s="172"/>
      <c r="E196" s="274"/>
      <c r="F196" s="607">
        <f>E85</f>
        <v>472813.99</v>
      </c>
      <c r="G196" s="160"/>
      <c r="H196" s="148"/>
    </row>
    <row r="197" spans="1:8" ht="19.5" customHeight="1">
      <c r="A197" s="160" t="s">
        <v>39</v>
      </c>
      <c r="B197" s="160" t="s">
        <v>534</v>
      </c>
      <c r="C197" s="662"/>
      <c r="D197" s="172"/>
      <c r="E197" s="274"/>
      <c r="F197" s="172"/>
      <c r="G197" s="160"/>
      <c r="H197" s="148"/>
    </row>
    <row r="198" spans="1:8" ht="15" customHeight="1">
      <c r="A198" s="609" t="s">
        <v>549</v>
      </c>
      <c r="B198" s="610"/>
      <c r="C198" s="268"/>
      <c r="D198" s="798">
        <v>0.1</v>
      </c>
      <c r="E198" s="613">
        <f>E8*D198</f>
        <v>768260.254</v>
      </c>
      <c r="F198" s="613"/>
      <c r="G198" s="631">
        <f>F198+F199+F200</f>
        <v>685290.5</v>
      </c>
      <c r="H198" s="634" t="s">
        <v>544</v>
      </c>
    </row>
    <row r="199" spans="1:8" ht="27" customHeight="1">
      <c r="A199" s="614" t="s">
        <v>536</v>
      </c>
      <c r="B199" s="160"/>
      <c r="C199" s="274"/>
      <c r="D199" s="183"/>
      <c r="E199" s="274"/>
      <c r="F199" s="275">
        <f>E110+E136</f>
        <v>685290.5</v>
      </c>
      <c r="G199" s="632"/>
      <c r="H199" s="634"/>
    </row>
    <row r="200" spans="1:8" ht="13.5" customHeight="1">
      <c r="A200" s="278" t="s">
        <v>270</v>
      </c>
      <c r="B200" s="160"/>
      <c r="C200" s="274"/>
      <c r="D200" s="183"/>
      <c r="E200" s="274"/>
      <c r="F200" s="279"/>
      <c r="G200" s="633"/>
      <c r="H200" s="635"/>
    </row>
    <row r="201" spans="1:8" ht="13.5" customHeight="1">
      <c r="A201" s="276" t="s">
        <v>172</v>
      </c>
      <c r="B201" s="160"/>
      <c r="C201" s="274"/>
      <c r="D201" s="183"/>
      <c r="E201" s="274"/>
      <c r="F201" s="277">
        <f>E81</f>
        <v>0.27999999999883585</v>
      </c>
      <c r="G201" s="160"/>
      <c r="H201" s="148"/>
    </row>
    <row r="203" spans="1:8" ht="13.5" customHeight="1">
      <c r="A203" s="147" t="s">
        <v>40</v>
      </c>
      <c r="F203" s="147" t="b">
        <f>SUM(F191:F201)=E8</f>
        <v>1</v>
      </c>
      <c r="G203" s="147"/>
      <c r="H203" s="148"/>
    </row>
    <row r="204" spans="1:7" ht="15">
      <c r="A204" s="615" t="s">
        <v>537</v>
      </c>
      <c r="B204" s="616">
        <v>0.15</v>
      </c>
      <c r="C204" s="617">
        <f>(F198+F199)*B204</f>
        <v>102793.575</v>
      </c>
      <c r="D204" s="618">
        <f>(E136+E110)*B204</f>
        <v>102793.575</v>
      </c>
      <c r="E204" s="612"/>
      <c r="F204" s="612"/>
      <c r="G204" s="612"/>
    </row>
    <row r="205" spans="1:7" ht="15">
      <c r="A205" s="615" t="s">
        <v>538</v>
      </c>
      <c r="B205" s="616">
        <v>0.35</v>
      </c>
      <c r="C205" s="617">
        <f>(F199+F198)*B205</f>
        <v>239851.675</v>
      </c>
      <c r="D205" s="618">
        <f>(E136+E110)*B205</f>
        <v>239851.675</v>
      </c>
      <c r="E205" s="612"/>
      <c r="F205" s="612"/>
      <c r="G205" s="612"/>
    </row>
    <row r="206" spans="6:8" ht="13.5" customHeight="1">
      <c r="F206" s="147"/>
      <c r="G206" s="147"/>
      <c r="H206" s="148"/>
    </row>
    <row r="207" spans="6:8" ht="13.5" customHeight="1">
      <c r="F207" s="147"/>
      <c r="G207" s="147"/>
      <c r="H207" s="148"/>
    </row>
    <row r="208" spans="6:8" ht="13.5" customHeight="1">
      <c r="F208" s="147"/>
      <c r="G208" s="147"/>
      <c r="H208" s="148"/>
    </row>
  </sheetData>
  <sheetProtection/>
  <mergeCells count="41">
    <mergeCell ref="G127:G128"/>
    <mergeCell ref="C191:C197"/>
    <mergeCell ref="A181:D181"/>
    <mergeCell ref="A174:D174"/>
    <mergeCell ref="A173:D173"/>
    <mergeCell ref="A143:D143"/>
    <mergeCell ref="A144:C144"/>
    <mergeCell ref="A145:B145"/>
    <mergeCell ref="A161:D161"/>
    <mergeCell ref="A9:C9"/>
    <mergeCell ref="H164:H165"/>
    <mergeCell ref="F164:F165"/>
    <mergeCell ref="G164:G165"/>
    <mergeCell ref="H162:H163"/>
    <mergeCell ref="F162:F163"/>
    <mergeCell ref="H127:H128"/>
    <mergeCell ref="H129:H130"/>
    <mergeCell ref="F127:F128"/>
    <mergeCell ref="G162:G163"/>
    <mergeCell ref="A40:D40"/>
    <mergeCell ref="A78:D78"/>
    <mergeCell ref="A108:D108"/>
    <mergeCell ref="F125:F126"/>
    <mergeCell ref="A125:A126"/>
    <mergeCell ref="G125:G126"/>
    <mergeCell ref="G129:G130"/>
    <mergeCell ref="A127:A128"/>
    <mergeCell ref="A129:A130"/>
    <mergeCell ref="G198:G200"/>
    <mergeCell ref="H198:H200"/>
    <mergeCell ref="G6:H6"/>
    <mergeCell ref="H7:H8"/>
    <mergeCell ref="H125:H126"/>
    <mergeCell ref="A90:D90"/>
    <mergeCell ref="G7:G8"/>
    <mergeCell ref="A4:E4"/>
    <mergeCell ref="A6:A7"/>
    <mergeCell ref="B6:B7"/>
    <mergeCell ref="D6:D7"/>
    <mergeCell ref="C6:C7"/>
    <mergeCell ref="F6:F8"/>
  </mergeCells>
  <printOptions horizontalCentered="1"/>
  <pageMargins left="0.7874015748031497" right="0.3937007874015748" top="0.984251968503937" bottom="0.5905511811023623" header="0.5118110236220472" footer="0.5118110236220472"/>
  <pageSetup fitToHeight="2" fitToWidth="1" horizontalDpi="600" verticalDpi="600" orientation="portrait" paperSize="9" scale="28" r:id="rId3"/>
  <rowBreaks count="1" manualBreakCount="1">
    <brk id="132" max="8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9"/>
  <sheetViews>
    <sheetView zoomScalePageLayoutView="0" workbookViewId="0" topLeftCell="A146">
      <selection activeCell="H154" sqref="H154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4.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385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23309004.2</v>
      </c>
      <c r="I9" s="124">
        <f>I15</f>
        <v>21046839</v>
      </c>
      <c r="J9" s="124"/>
      <c r="K9" s="124">
        <f>K23</f>
        <v>2162665.2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21046839</v>
      </c>
      <c r="I15" s="78">
        <f>I16+I18+I19+I17+I22</f>
        <v>21046839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126">
        <f t="shared" si="0"/>
        <v>16689500</v>
      </c>
      <c r="I17" s="359">
        <v>16689500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2162665.2</v>
      </c>
      <c r="I23" s="102" t="s">
        <v>76</v>
      </c>
      <c r="J23" s="100"/>
      <c r="K23" s="100">
        <f>SUM(K24:K47)</f>
        <v>2162665.2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6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 hidden="1">
      <c r="A30" s="700"/>
      <c r="B30" s="62"/>
      <c r="C30" s="63" t="s">
        <v>50</v>
      </c>
      <c r="D30" s="393" t="s">
        <v>332</v>
      </c>
      <c r="E30" s="20"/>
      <c r="F30" s="695" t="s">
        <v>284</v>
      </c>
      <c r="G30" s="9"/>
      <c r="H30" s="25"/>
      <c r="I30" s="107" t="s">
        <v>76</v>
      </c>
      <c r="J30" s="108"/>
      <c r="K30" s="109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393" t="s">
        <v>214</v>
      </c>
      <c r="E31" s="9"/>
      <c r="F31" s="695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333</v>
      </c>
      <c r="E32" s="9"/>
      <c r="F32" s="695"/>
      <c r="G32" s="9"/>
      <c r="H32" s="126">
        <f aca="true" t="shared" si="1" ref="H32:H47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216</v>
      </c>
      <c r="E33" s="9"/>
      <c r="F33" s="695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5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>
      <c r="A35" s="741" t="s">
        <v>372</v>
      </c>
      <c r="B35" s="60"/>
      <c r="C35" s="693" t="s">
        <v>373</v>
      </c>
      <c r="D35" s="434" t="s">
        <v>332</v>
      </c>
      <c r="E35" s="9"/>
      <c r="F35" s="6" t="s">
        <v>284</v>
      </c>
      <c r="G35" s="9"/>
      <c r="H35" s="126">
        <f t="shared" si="1"/>
        <v>43200</v>
      </c>
      <c r="I35" s="107"/>
      <c r="J35" s="78"/>
      <c r="K35" s="78">
        <v>43200</v>
      </c>
      <c r="L35" s="26"/>
      <c r="M35" s="26"/>
      <c r="N35" s="107"/>
      <c r="O35" s="7"/>
    </row>
    <row r="36" spans="1:15" ht="12.75" customHeight="1">
      <c r="A36" s="742"/>
      <c r="B36" s="60"/>
      <c r="C36" s="697"/>
      <c r="D36" s="434" t="s">
        <v>214</v>
      </c>
      <c r="E36" s="9"/>
      <c r="F36" s="6" t="s">
        <v>284</v>
      </c>
      <c r="G36" s="9"/>
      <c r="H36" s="126">
        <f t="shared" si="1"/>
        <v>4800</v>
      </c>
      <c r="I36" s="107"/>
      <c r="J36" s="78"/>
      <c r="K36" s="78">
        <v>4800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333</v>
      </c>
      <c r="E37" s="9"/>
      <c r="F37" s="6" t="s">
        <v>284</v>
      </c>
      <c r="G37" s="9"/>
      <c r="H37" s="126">
        <f t="shared" si="1"/>
        <v>10800</v>
      </c>
      <c r="I37" s="107"/>
      <c r="J37" s="78"/>
      <c r="K37" s="78">
        <v>10800</v>
      </c>
      <c r="L37" s="26"/>
      <c r="M37" s="26"/>
      <c r="N37" s="107"/>
      <c r="O37" s="7"/>
    </row>
    <row r="38" spans="1:15" ht="12.75" customHeight="1">
      <c r="A38" s="743"/>
      <c r="B38" s="60"/>
      <c r="C38" s="694"/>
      <c r="D38" s="434" t="s">
        <v>216</v>
      </c>
      <c r="E38" s="9"/>
      <c r="F38" s="6" t="s">
        <v>284</v>
      </c>
      <c r="G38" s="9"/>
      <c r="H38" s="126">
        <f t="shared" si="1"/>
        <v>1200</v>
      </c>
      <c r="I38" s="107"/>
      <c r="J38" s="78"/>
      <c r="K38" s="78">
        <v>1200</v>
      </c>
      <c r="L38" s="26"/>
      <c r="M38" s="26"/>
      <c r="N38" s="107"/>
      <c r="O38" s="7"/>
    </row>
    <row r="39" spans="1:15" ht="12.75">
      <c r="A39" s="711" t="s">
        <v>155</v>
      </c>
      <c r="B39" s="62"/>
      <c r="C39" s="698" t="s">
        <v>51</v>
      </c>
      <c r="D39" s="6" t="s">
        <v>81</v>
      </c>
      <c r="E39" s="9"/>
      <c r="F39" s="693" t="s">
        <v>284</v>
      </c>
      <c r="G39" s="9"/>
      <c r="H39" s="126">
        <f t="shared" si="1"/>
        <v>198138.2</v>
      </c>
      <c r="I39" s="107" t="s">
        <v>76</v>
      </c>
      <c r="J39" s="78"/>
      <c r="K39" s="309">
        <f>195152.7+2985.5</f>
        <v>198138.2</v>
      </c>
      <c r="L39" s="26"/>
      <c r="M39" s="26"/>
      <c r="N39" s="107" t="s">
        <v>76</v>
      </c>
      <c r="O39" s="7"/>
    </row>
    <row r="40" spans="1:21" ht="12.75">
      <c r="A40" s="711"/>
      <c r="B40" s="62"/>
      <c r="C40" s="698"/>
      <c r="D40" s="6" t="s">
        <v>166</v>
      </c>
      <c r="E40" s="9"/>
      <c r="F40" s="697"/>
      <c r="G40" s="9"/>
      <c r="H40" s="126">
        <f t="shared" si="1"/>
        <v>168468.3</v>
      </c>
      <c r="I40" s="107" t="s">
        <v>76</v>
      </c>
      <c r="J40" s="78"/>
      <c r="K40" s="309">
        <f>148024.8+20443.5</f>
        <v>168468.3</v>
      </c>
      <c r="L40" s="26"/>
      <c r="M40" s="26"/>
      <c r="N40" s="107" t="s">
        <v>76</v>
      </c>
      <c r="O40" s="7"/>
      <c r="U40" s="392"/>
    </row>
    <row r="41" spans="1:15" ht="12.75">
      <c r="A41" s="711"/>
      <c r="B41" s="62"/>
      <c r="C41" s="698"/>
      <c r="D41" s="9" t="s">
        <v>196</v>
      </c>
      <c r="E41" s="9"/>
      <c r="F41" s="694"/>
      <c r="G41" s="9"/>
      <c r="H41" s="126">
        <f t="shared" si="1"/>
        <v>18718.7</v>
      </c>
      <c r="I41" s="107" t="s">
        <v>76</v>
      </c>
      <c r="J41" s="78"/>
      <c r="K41" s="309">
        <f>16447.2+2271.5</f>
        <v>18718.7</v>
      </c>
      <c r="L41" s="26"/>
      <c r="M41" s="26"/>
      <c r="N41" s="107" t="s">
        <v>76</v>
      </c>
      <c r="O41" s="7"/>
    </row>
    <row r="42" spans="1:15" ht="63.75">
      <c r="A42" s="65" t="s">
        <v>43</v>
      </c>
      <c r="B42" s="66"/>
      <c r="C42" s="368" t="s">
        <v>42</v>
      </c>
      <c r="D42" s="6" t="s">
        <v>162</v>
      </c>
      <c r="E42" s="9"/>
      <c r="F42" s="6" t="s">
        <v>284</v>
      </c>
      <c r="G42" s="9"/>
      <c r="H42" s="126">
        <f t="shared" si="1"/>
        <v>950000</v>
      </c>
      <c r="I42" s="107" t="s">
        <v>76</v>
      </c>
      <c r="J42" s="78"/>
      <c r="K42" s="78">
        <v>950000</v>
      </c>
      <c r="L42" s="26"/>
      <c r="M42" s="26"/>
      <c r="N42" s="107" t="s">
        <v>76</v>
      </c>
      <c r="O42" s="7"/>
    </row>
    <row r="43" spans="1:15" ht="25.5">
      <c r="A43" s="65" t="s">
        <v>225</v>
      </c>
      <c r="B43" s="66"/>
      <c r="C43" s="59" t="s">
        <v>203</v>
      </c>
      <c r="D43" s="59" t="s">
        <v>81</v>
      </c>
      <c r="E43" s="59"/>
      <c r="F43" s="6" t="s">
        <v>284</v>
      </c>
      <c r="G43" s="9"/>
      <c r="H43" s="126">
        <f t="shared" si="1"/>
        <v>10000</v>
      </c>
      <c r="I43" s="107" t="s">
        <v>76</v>
      </c>
      <c r="J43" s="78"/>
      <c r="K43" s="78">
        <v>10000</v>
      </c>
      <c r="L43" s="26"/>
      <c r="M43" s="26"/>
      <c r="N43" s="107" t="s">
        <v>76</v>
      </c>
      <c r="O43" s="7"/>
    </row>
    <row r="44" spans="1:15" ht="21" customHeight="1" hidden="1">
      <c r="A44" s="689" t="s">
        <v>199</v>
      </c>
      <c r="B44" s="66"/>
      <c r="C44" s="690" t="s">
        <v>192</v>
      </c>
      <c r="D44" s="59" t="s">
        <v>193</v>
      </c>
      <c r="E44" s="59"/>
      <c r="F44" s="693" t="s">
        <v>209</v>
      </c>
      <c r="G44" s="9"/>
      <c r="H44" s="126">
        <f t="shared" si="1"/>
        <v>0</v>
      </c>
      <c r="I44" s="107" t="s">
        <v>76</v>
      </c>
      <c r="J44" s="78"/>
      <c r="K44" s="78"/>
      <c r="L44" s="26"/>
      <c r="M44" s="26"/>
      <c r="N44" s="107" t="s">
        <v>76</v>
      </c>
      <c r="O44" s="7"/>
    </row>
    <row r="45" spans="1:15" ht="18" customHeight="1" hidden="1">
      <c r="A45" s="689"/>
      <c r="B45" s="66"/>
      <c r="C45" s="690"/>
      <c r="D45" s="59" t="s">
        <v>196</v>
      </c>
      <c r="E45" s="59"/>
      <c r="F45" s="694"/>
      <c r="G45" s="9"/>
      <c r="H45" s="126">
        <f t="shared" si="1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38.25" hidden="1">
      <c r="A46" s="22" t="s">
        <v>49</v>
      </c>
      <c r="B46" s="6"/>
      <c r="C46" s="6" t="s">
        <v>23</v>
      </c>
      <c r="D46" s="6" t="s">
        <v>228</v>
      </c>
      <c r="E46" s="6"/>
      <c r="F46" s="6" t="s">
        <v>209</v>
      </c>
      <c r="G46" s="6"/>
      <c r="H46" s="129">
        <f t="shared" si="1"/>
        <v>0</v>
      </c>
      <c r="I46" s="26"/>
      <c r="J46" s="26"/>
      <c r="K46" s="78"/>
      <c r="L46" s="26"/>
      <c r="M46" s="26"/>
      <c r="N46" s="26"/>
      <c r="O46" s="7"/>
    </row>
    <row r="47" spans="1:15" ht="22.5" customHeight="1" hidden="1">
      <c r="A47" s="8" t="s">
        <v>229</v>
      </c>
      <c r="B47" s="6"/>
      <c r="C47" s="22" t="s">
        <v>230</v>
      </c>
      <c r="D47" s="6" t="s">
        <v>81</v>
      </c>
      <c r="E47" s="9"/>
      <c r="F47" s="15" t="s">
        <v>209</v>
      </c>
      <c r="G47" s="9"/>
      <c r="H47" s="126">
        <f t="shared" si="1"/>
        <v>0</v>
      </c>
      <c r="I47" s="107"/>
      <c r="J47" s="78"/>
      <c r="K47" s="26"/>
      <c r="L47" s="26"/>
      <c r="M47" s="26"/>
      <c r="N47" s="26"/>
      <c r="O47" s="7"/>
    </row>
    <row r="48" spans="1:21" s="25" customFormat="1" ht="17.25" customHeight="1">
      <c r="A48" s="23" t="s">
        <v>94</v>
      </c>
      <c r="B48" s="24" t="s">
        <v>95</v>
      </c>
      <c r="C48" s="56" t="s">
        <v>76</v>
      </c>
      <c r="D48" s="56" t="s">
        <v>76</v>
      </c>
      <c r="E48" s="56" t="s">
        <v>76</v>
      </c>
      <c r="F48" s="56" t="s">
        <v>76</v>
      </c>
      <c r="G48" s="56" t="s">
        <v>76</v>
      </c>
      <c r="H48" s="130">
        <f>I48+N48+K48</f>
        <v>23309004.2</v>
      </c>
      <c r="I48" s="130">
        <f>I54+I78+I96</f>
        <v>21046839</v>
      </c>
      <c r="J48" s="130"/>
      <c r="K48" s="130">
        <f>K96+K100+K102+K115+K126+K129+K131+K109+K134+K136+K138+K104</f>
        <v>2162665.2</v>
      </c>
      <c r="L48" s="130"/>
      <c r="M48" s="130"/>
      <c r="N48" s="130">
        <f>N140</f>
        <v>99500.00000000001</v>
      </c>
      <c r="O48" s="95"/>
      <c r="U48" s="380"/>
    </row>
    <row r="49" spans="1:15" s="25" customFormat="1" ht="18" customHeight="1">
      <c r="A49" s="8" t="s">
        <v>96</v>
      </c>
      <c r="B49" s="9" t="s">
        <v>97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f>I49+N49</f>
        <v>16594000</v>
      </c>
      <c r="I49" s="78">
        <f>I50+I52</f>
        <v>16594000</v>
      </c>
      <c r="J49" s="78"/>
      <c r="K49" s="78"/>
      <c r="L49" s="78"/>
      <c r="M49" s="78"/>
      <c r="N49" s="78"/>
      <c r="O49" s="7" t="s">
        <v>76</v>
      </c>
    </row>
    <row r="50" spans="1:15" s="25" customFormat="1" ht="25.5">
      <c r="A50" s="22" t="s">
        <v>98</v>
      </c>
      <c r="B50" s="9" t="s">
        <v>99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16594000</v>
      </c>
      <c r="I50" s="78">
        <f>I55+I56+I58+I59</f>
        <v>16594000</v>
      </c>
      <c r="J50" s="78"/>
      <c r="K50" s="78"/>
      <c r="L50" s="78"/>
      <c r="M50" s="78"/>
      <c r="N50" s="78"/>
      <c r="O50" s="7" t="s">
        <v>76</v>
      </c>
    </row>
    <row r="51" spans="1:15" s="25" customFormat="1" ht="9.75" customHeight="1" hidden="1">
      <c r="A51" s="8" t="s">
        <v>100</v>
      </c>
      <c r="B51" s="9" t="s">
        <v>101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/>
      <c r="I51" s="78"/>
      <c r="J51" s="78"/>
      <c r="K51" s="78"/>
      <c r="L51" s="78"/>
      <c r="M51" s="78"/>
      <c r="N51" s="78"/>
      <c r="O51" s="7" t="s">
        <v>76</v>
      </c>
    </row>
    <row r="52" spans="1:15" s="25" customFormat="1" ht="25.5" hidden="1">
      <c r="A52" s="8" t="s">
        <v>102</v>
      </c>
      <c r="B52" s="9" t="s">
        <v>103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0</v>
      </c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13.5" customHeight="1" hidden="1">
      <c r="A53" s="8" t="s">
        <v>104</v>
      </c>
      <c r="B53" s="9" t="s">
        <v>105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v>0</v>
      </c>
      <c r="I53" s="78">
        <v>0</v>
      </c>
      <c r="J53" s="78"/>
      <c r="K53" s="78"/>
      <c r="L53" s="78"/>
      <c r="M53" s="78"/>
      <c r="N53" s="78"/>
      <c r="O53" s="21"/>
    </row>
    <row r="54" spans="1:15" s="25" customFormat="1" ht="29.25" customHeight="1">
      <c r="A54" s="681" t="s">
        <v>106</v>
      </c>
      <c r="B54" s="683"/>
      <c r="C54" s="27" t="s">
        <v>18</v>
      </c>
      <c r="D54" s="3"/>
      <c r="E54" s="27"/>
      <c r="F54" s="3"/>
      <c r="G54" s="3"/>
      <c r="H54" s="124">
        <f>SUM(H55:H77)</f>
        <v>17097800</v>
      </c>
      <c r="I54" s="97">
        <f>SUM(I55:I77)</f>
        <v>17097800</v>
      </c>
      <c r="J54" s="110"/>
      <c r="K54" s="111" t="s">
        <v>107</v>
      </c>
      <c r="L54" s="111"/>
      <c r="M54" s="111"/>
      <c r="N54" s="111" t="s">
        <v>107</v>
      </c>
      <c r="O54" s="28"/>
    </row>
    <row r="55" spans="1:15" s="25" customFormat="1" ht="12.75">
      <c r="A55" s="22" t="s">
        <v>4</v>
      </c>
      <c r="B55" s="9"/>
      <c r="C55" s="6" t="s">
        <v>18</v>
      </c>
      <c r="D55" s="14">
        <v>14130030000000000</v>
      </c>
      <c r="E55" s="6" t="s">
        <v>108</v>
      </c>
      <c r="F55" s="6" t="s">
        <v>99</v>
      </c>
      <c r="G55" s="6" t="s">
        <v>109</v>
      </c>
      <c r="H55" s="126">
        <f>I55</f>
        <v>12739000</v>
      </c>
      <c r="I55" s="112">
        <v>12739000</v>
      </c>
      <c r="J55" s="78"/>
      <c r="K55" s="107" t="s">
        <v>76</v>
      </c>
      <c r="L55" s="107" t="s">
        <v>76</v>
      </c>
      <c r="M55" s="107" t="s">
        <v>76</v>
      </c>
      <c r="N55" s="107" t="s">
        <v>76</v>
      </c>
      <c r="O55" s="6" t="s">
        <v>76</v>
      </c>
    </row>
    <row r="56" spans="1:15" s="25" customFormat="1" ht="15.75" customHeight="1" hidden="1">
      <c r="A56" s="22" t="s">
        <v>5</v>
      </c>
      <c r="B56" s="9"/>
      <c r="C56" s="6" t="s">
        <v>18</v>
      </c>
      <c r="D56" s="9" t="s">
        <v>81</v>
      </c>
      <c r="E56" s="6" t="s">
        <v>108</v>
      </c>
      <c r="F56" s="6" t="s">
        <v>110</v>
      </c>
      <c r="G56" s="6" t="s">
        <v>111</v>
      </c>
      <c r="H56" s="126">
        <f>I56</f>
        <v>0</v>
      </c>
      <c r="I56" s="78"/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/>
    </row>
    <row r="57" spans="1:15" s="25" customFormat="1" ht="12.75" hidden="1">
      <c r="A57" s="22" t="s">
        <v>5</v>
      </c>
      <c r="B57" s="9"/>
      <c r="C57" s="9"/>
      <c r="D57" s="15"/>
      <c r="E57" s="9"/>
      <c r="F57" s="9" t="s">
        <v>110</v>
      </c>
      <c r="G57" s="9" t="s">
        <v>111</v>
      </c>
      <c r="H57" s="126">
        <f aca="true" t="shared" si="2" ref="H57:H77"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2.75">
      <c r="A58" s="81" t="s">
        <v>6</v>
      </c>
      <c r="B58" s="9"/>
      <c r="C58" s="6" t="s">
        <v>18</v>
      </c>
      <c r="D58" s="14">
        <v>14130030000000000</v>
      </c>
      <c r="E58" s="6" t="s">
        <v>108</v>
      </c>
      <c r="F58" s="6" t="s">
        <v>112</v>
      </c>
      <c r="G58" s="6" t="s">
        <v>113</v>
      </c>
      <c r="H58" s="126">
        <f t="shared" si="2"/>
        <v>3855000</v>
      </c>
      <c r="I58" s="78">
        <v>3855000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 hidden="1">
      <c r="A59" s="86"/>
      <c r="B59" s="12"/>
      <c r="C59" s="60"/>
      <c r="D59" s="30">
        <v>14130030000000000</v>
      </c>
      <c r="E59" s="29"/>
      <c r="F59" s="31"/>
      <c r="G59" s="31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/>
    </row>
    <row r="60" spans="1:15" s="25" customFormat="1" ht="13.5" customHeight="1">
      <c r="A60" s="691" t="s">
        <v>7</v>
      </c>
      <c r="B60" s="9"/>
      <c r="C60" s="693" t="s">
        <v>18</v>
      </c>
      <c r="D60" s="9" t="s">
        <v>81</v>
      </c>
      <c r="E60" s="9" t="s">
        <v>108</v>
      </c>
      <c r="F60" s="693" t="s">
        <v>114</v>
      </c>
      <c r="G60" s="9" t="s">
        <v>115</v>
      </c>
      <c r="H60" s="126">
        <f t="shared" si="2"/>
        <v>32600</v>
      </c>
      <c r="I60" s="113">
        <v>32600</v>
      </c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 hidden="1">
      <c r="A61" s="696"/>
      <c r="B61" s="9"/>
      <c r="C61" s="697"/>
      <c r="D61" s="15"/>
      <c r="E61" s="9"/>
      <c r="F61" s="697"/>
      <c r="G61" s="9" t="s">
        <v>115</v>
      </c>
      <c r="H61" s="126">
        <f t="shared" si="2"/>
        <v>0</v>
      </c>
      <c r="I61" s="78"/>
      <c r="J61" s="100"/>
      <c r="K61" s="101" t="s">
        <v>76</v>
      </c>
      <c r="L61" s="101" t="s">
        <v>76</v>
      </c>
      <c r="M61" s="101" t="s">
        <v>76</v>
      </c>
      <c r="N61" s="101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/>
      <c r="H62" s="126">
        <f t="shared" si="2"/>
        <v>0</v>
      </c>
      <c r="I62" s="78"/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2"/>
        <v>0</v>
      </c>
      <c r="I63" s="78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12.75" customHeight="1">
      <c r="A65" s="692"/>
      <c r="B65" s="9"/>
      <c r="C65" s="694"/>
      <c r="D65" s="14">
        <v>14130030000000000</v>
      </c>
      <c r="E65" s="9" t="s">
        <v>108</v>
      </c>
      <c r="F65" s="694"/>
      <c r="G65" s="9" t="s">
        <v>115</v>
      </c>
      <c r="H65" s="126">
        <f t="shared" si="2"/>
        <v>30000</v>
      </c>
      <c r="I65" s="106">
        <v>30000</v>
      </c>
      <c r="J65" s="100"/>
      <c r="K65" s="101" t="s">
        <v>76</v>
      </c>
      <c r="L65" s="101"/>
      <c r="M65" s="101"/>
      <c r="N65" s="101" t="s">
        <v>76</v>
      </c>
      <c r="O65" s="6"/>
    </row>
    <row r="66" spans="1:15" s="25" customFormat="1" ht="12.75" customHeight="1">
      <c r="A66" s="16" t="s">
        <v>8</v>
      </c>
      <c r="B66" s="9"/>
      <c r="C66" s="6" t="s">
        <v>18</v>
      </c>
      <c r="D66" s="9" t="s">
        <v>81</v>
      </c>
      <c r="E66" s="10" t="s">
        <v>108</v>
      </c>
      <c r="F66" s="11" t="s">
        <v>128</v>
      </c>
      <c r="G66" s="10" t="s">
        <v>115</v>
      </c>
      <c r="H66" s="126">
        <f t="shared" si="2"/>
        <v>102000</v>
      </c>
      <c r="I66" s="113">
        <v>102000</v>
      </c>
      <c r="J66" s="100"/>
      <c r="K66" s="101" t="s">
        <v>76</v>
      </c>
      <c r="L66" s="101"/>
      <c r="M66" s="101"/>
      <c r="N66" s="101" t="s">
        <v>76</v>
      </c>
      <c r="O66" s="6"/>
    </row>
    <row r="67" spans="1:15" s="25" customFormat="1" ht="12.75">
      <c r="A67" s="684" t="s">
        <v>12</v>
      </c>
      <c r="B67" s="9"/>
      <c r="C67" s="693" t="s">
        <v>18</v>
      </c>
      <c r="D67" s="9" t="s">
        <v>81</v>
      </c>
      <c r="E67" s="693" t="s">
        <v>108</v>
      </c>
      <c r="F67" s="693" t="s">
        <v>116</v>
      </c>
      <c r="G67" s="693" t="s">
        <v>115</v>
      </c>
      <c r="H67" s="126">
        <f t="shared" si="2"/>
        <v>272300</v>
      </c>
      <c r="I67" s="113">
        <f>216300+56000</f>
        <v>272300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12.75" hidden="1">
      <c r="A68" s="686"/>
      <c r="B68" s="9"/>
      <c r="C68" s="694"/>
      <c r="D68" s="14">
        <v>14130030000000000</v>
      </c>
      <c r="E68" s="694"/>
      <c r="F68" s="694"/>
      <c r="G68" s="694"/>
      <c r="H68" s="126">
        <f t="shared" si="2"/>
        <v>0</v>
      </c>
      <c r="I68" s="79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12.75" hidden="1">
      <c r="A69" s="22" t="s">
        <v>13</v>
      </c>
      <c r="B69" s="9"/>
      <c r="C69" s="9"/>
      <c r="D69" s="15"/>
      <c r="E69" s="9"/>
      <c r="F69" s="9" t="s">
        <v>117</v>
      </c>
      <c r="G69" s="9" t="s">
        <v>115</v>
      </c>
      <c r="H69" s="126">
        <f t="shared" si="2"/>
        <v>0</v>
      </c>
      <c r="I69" s="78"/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 t="s">
        <v>76</v>
      </c>
    </row>
    <row r="70" spans="1:15" s="25" customFormat="1" ht="25.5">
      <c r="A70" s="22" t="s">
        <v>245</v>
      </c>
      <c r="B70" s="9"/>
      <c r="C70" s="9" t="s">
        <v>18</v>
      </c>
      <c r="D70" s="14">
        <v>14130010000000000</v>
      </c>
      <c r="E70" s="9" t="s">
        <v>108</v>
      </c>
      <c r="F70" s="9" t="s">
        <v>246</v>
      </c>
      <c r="G70" s="10" t="s">
        <v>109</v>
      </c>
      <c r="H70" s="126">
        <f>I70</f>
        <v>25500</v>
      </c>
      <c r="I70" s="78">
        <v>25500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12.75" hidden="1">
      <c r="A71" s="22" t="s">
        <v>14</v>
      </c>
      <c r="B71" s="9"/>
      <c r="C71" s="9" t="s">
        <v>18</v>
      </c>
      <c r="D71" s="14">
        <v>14130030000000000</v>
      </c>
      <c r="E71" s="695" t="s">
        <v>108</v>
      </c>
      <c r="F71" s="9" t="s">
        <v>118</v>
      </c>
      <c r="G71" s="9" t="s">
        <v>115</v>
      </c>
      <c r="H71" s="126">
        <f t="shared" si="2"/>
        <v>0</v>
      </c>
      <c r="I71" s="79"/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 t="s">
        <v>76</v>
      </c>
    </row>
    <row r="72" spans="1:15" s="25" customFormat="1" ht="51" hidden="1">
      <c r="A72" s="82" t="s">
        <v>237</v>
      </c>
      <c r="B72" s="9"/>
      <c r="C72" s="83" t="s">
        <v>18</v>
      </c>
      <c r="D72" s="9" t="s">
        <v>81</v>
      </c>
      <c r="E72" s="695"/>
      <c r="F72" s="84" t="s">
        <v>238</v>
      </c>
      <c r="G72" s="84" t="s">
        <v>115</v>
      </c>
      <c r="H72" s="126">
        <f t="shared" si="2"/>
        <v>0</v>
      </c>
      <c r="I72" s="113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38.25">
      <c r="A73" s="82" t="s">
        <v>239</v>
      </c>
      <c r="B73" s="9"/>
      <c r="C73" s="83" t="s">
        <v>18</v>
      </c>
      <c r="D73" s="9" t="s">
        <v>81</v>
      </c>
      <c r="E73" s="83" t="s">
        <v>108</v>
      </c>
      <c r="F73" s="84" t="s">
        <v>240</v>
      </c>
      <c r="G73" s="84" t="s">
        <v>115</v>
      </c>
      <c r="H73" s="126">
        <f t="shared" si="2"/>
        <v>1400</v>
      </c>
      <c r="I73" s="106">
        <v>1400</v>
      </c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/>
    </row>
    <row r="74" spans="1:15" s="25" customFormat="1" ht="25.5">
      <c r="A74" s="22" t="s">
        <v>241</v>
      </c>
      <c r="B74" s="9"/>
      <c r="C74" s="9" t="s">
        <v>18</v>
      </c>
      <c r="D74" s="14">
        <v>14130030000000000</v>
      </c>
      <c r="E74" s="10" t="s">
        <v>108</v>
      </c>
      <c r="F74" s="9" t="s">
        <v>242</v>
      </c>
      <c r="G74" s="9" t="s">
        <v>115</v>
      </c>
      <c r="H74" s="126">
        <f t="shared" si="2"/>
        <v>40000</v>
      </c>
      <c r="I74" s="376">
        <f>20000+20000</f>
        <v>40000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25.5">
      <c r="A75" s="394" t="s">
        <v>243</v>
      </c>
      <c r="B75" s="6"/>
      <c r="C75" s="6" t="s">
        <v>18</v>
      </c>
      <c r="D75" s="395">
        <v>14130030000000000</v>
      </c>
      <c r="E75" s="6" t="s">
        <v>108</v>
      </c>
      <c r="F75" s="6" t="s">
        <v>244</v>
      </c>
      <c r="G75" s="6" t="s">
        <v>115</v>
      </c>
      <c r="H75" s="126">
        <f t="shared" si="2"/>
        <v>0</v>
      </c>
      <c r="I75" s="376">
        <f>20000-20000</f>
        <v>0</v>
      </c>
      <c r="J75" s="107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12.75" hidden="1">
      <c r="A76" s="691" t="s">
        <v>188</v>
      </c>
      <c r="B76" s="9"/>
      <c r="C76" s="693" t="s">
        <v>18</v>
      </c>
      <c r="D76" s="9" t="s">
        <v>81</v>
      </c>
      <c r="E76" s="693" t="s">
        <v>108</v>
      </c>
      <c r="F76" s="693" t="s">
        <v>119</v>
      </c>
      <c r="G76" s="693" t="s">
        <v>115</v>
      </c>
      <c r="H76" s="126">
        <f t="shared" si="2"/>
        <v>0</v>
      </c>
      <c r="I76" s="78"/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12.75" hidden="1">
      <c r="A77" s="692"/>
      <c r="B77" s="9"/>
      <c r="C77" s="694"/>
      <c r="D77" s="14">
        <v>14130030000000000</v>
      </c>
      <c r="E77" s="694"/>
      <c r="F77" s="694"/>
      <c r="G77" s="694"/>
      <c r="H77" s="126">
        <f t="shared" si="2"/>
        <v>0</v>
      </c>
      <c r="I77" s="79"/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 t="s">
        <v>76</v>
      </c>
    </row>
    <row r="78" spans="1:15" s="25" customFormat="1" ht="27.75" customHeight="1">
      <c r="A78" s="681" t="s">
        <v>189</v>
      </c>
      <c r="B78" s="683"/>
      <c r="C78" s="27" t="s">
        <v>20</v>
      </c>
      <c r="D78" s="3"/>
      <c r="E78" s="27"/>
      <c r="F78" s="3"/>
      <c r="G78" s="3"/>
      <c r="H78" s="124">
        <f>I78</f>
        <v>3949039</v>
      </c>
      <c r="I78" s="97">
        <f>SUM(I79:I95)</f>
        <v>3949039</v>
      </c>
      <c r="J78" s="110"/>
      <c r="K78" s="111" t="s">
        <v>107</v>
      </c>
      <c r="L78" s="111"/>
      <c r="M78" s="111"/>
      <c r="N78" s="111" t="s">
        <v>107</v>
      </c>
      <c r="O78" s="28"/>
    </row>
    <row r="79" spans="1:15" s="25" customFormat="1" ht="15" customHeight="1">
      <c r="A79" s="22" t="s">
        <v>9</v>
      </c>
      <c r="B79" s="9"/>
      <c r="C79" s="9" t="s">
        <v>20</v>
      </c>
      <c r="D79" s="9" t="s">
        <v>81</v>
      </c>
      <c r="E79" s="9" t="s">
        <v>108</v>
      </c>
      <c r="F79" s="9" t="s">
        <v>120</v>
      </c>
      <c r="G79" s="9" t="s">
        <v>115</v>
      </c>
      <c r="H79" s="126">
        <f>I79</f>
        <v>934139</v>
      </c>
      <c r="I79" s="78">
        <f>1083500-149361</f>
        <v>934139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5" customHeight="1">
      <c r="A80" s="82" t="s">
        <v>8</v>
      </c>
      <c r="B80" s="9"/>
      <c r="C80" s="9" t="s">
        <v>20</v>
      </c>
      <c r="D80" s="9" t="s">
        <v>81</v>
      </c>
      <c r="E80" s="10" t="s">
        <v>108</v>
      </c>
      <c r="F80" s="10" t="s">
        <v>128</v>
      </c>
      <c r="G80" s="10" t="s">
        <v>115</v>
      </c>
      <c r="H80" s="126">
        <f>I80</f>
        <v>17547.48</v>
      </c>
      <c r="I80" s="78">
        <v>17547.48</v>
      </c>
      <c r="J80" s="78"/>
      <c r="K80" s="107"/>
      <c r="L80" s="107"/>
      <c r="M80" s="107"/>
      <c r="N80" s="107"/>
      <c r="O80" s="6"/>
    </row>
    <row r="81" spans="1:15" s="25" customFormat="1" ht="15" customHeight="1">
      <c r="A81" s="691" t="s">
        <v>11</v>
      </c>
      <c r="B81" s="9"/>
      <c r="C81" s="693" t="s">
        <v>20</v>
      </c>
      <c r="D81" s="9" t="s">
        <v>81</v>
      </c>
      <c r="E81" s="693" t="s">
        <v>108</v>
      </c>
      <c r="F81" s="693" t="s">
        <v>121</v>
      </c>
      <c r="G81" s="693" t="s">
        <v>115</v>
      </c>
      <c r="H81" s="126">
        <f aca="true" t="shared" si="3" ref="H81:H95">I81</f>
        <v>231900</v>
      </c>
      <c r="I81" s="112">
        <f>246900-15000</f>
        <v>231900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692"/>
      <c r="B82" s="9"/>
      <c r="C82" s="694"/>
      <c r="D82" s="14">
        <v>14130030000000000</v>
      </c>
      <c r="E82" s="694"/>
      <c r="F82" s="694"/>
      <c r="G82" s="694"/>
      <c r="H82" s="126">
        <f t="shared" si="3"/>
        <v>2020000</v>
      </c>
      <c r="I82" s="112">
        <v>2020000</v>
      </c>
      <c r="J82" s="362"/>
      <c r="K82" s="107" t="s">
        <v>76</v>
      </c>
      <c r="L82" s="107"/>
      <c r="M82" s="107"/>
      <c r="N82" s="107" t="s">
        <v>76</v>
      </c>
      <c r="O82" s="6"/>
    </row>
    <row r="83" spans="1:15" s="25" customFormat="1" ht="12.75">
      <c r="A83" s="691" t="s">
        <v>12</v>
      </c>
      <c r="B83" s="9"/>
      <c r="C83" s="693" t="s">
        <v>20</v>
      </c>
      <c r="D83" s="9" t="s">
        <v>81</v>
      </c>
      <c r="E83" s="693" t="s">
        <v>108</v>
      </c>
      <c r="F83" s="693" t="s">
        <v>116</v>
      </c>
      <c r="G83" s="693" t="s">
        <v>115</v>
      </c>
      <c r="H83" s="126">
        <f t="shared" si="3"/>
        <v>82352.52</v>
      </c>
      <c r="I83" s="78">
        <f>99900-17547.48</f>
        <v>82352.52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534800</v>
      </c>
      <c r="I84" s="115">
        <v>534800</v>
      </c>
      <c r="J84" s="78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22" t="s">
        <v>249</v>
      </c>
      <c r="B85" s="9"/>
      <c r="C85" s="9" t="s">
        <v>20</v>
      </c>
      <c r="D85" s="9" t="s">
        <v>81</v>
      </c>
      <c r="E85" s="9" t="s">
        <v>108</v>
      </c>
      <c r="F85" s="9" t="s">
        <v>206</v>
      </c>
      <c r="G85" s="9" t="s">
        <v>122</v>
      </c>
      <c r="H85" s="126">
        <f t="shared" si="3"/>
        <v>55400</v>
      </c>
      <c r="I85" s="78">
        <v>55400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22" t="s">
        <v>249</v>
      </c>
      <c r="B86" s="9"/>
      <c r="C86" s="9" t="s">
        <v>20</v>
      </c>
      <c r="D86" s="9" t="s">
        <v>81</v>
      </c>
      <c r="E86" s="9" t="s">
        <v>108</v>
      </c>
      <c r="F86" s="9" t="s">
        <v>206</v>
      </c>
      <c r="G86" s="9" t="s">
        <v>250</v>
      </c>
      <c r="H86" s="126">
        <f t="shared" si="3"/>
        <v>4800</v>
      </c>
      <c r="I86" s="79">
        <v>4800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 hidden="1">
      <c r="A87" s="22" t="s">
        <v>14</v>
      </c>
      <c r="B87" s="9"/>
      <c r="C87" s="9" t="s">
        <v>20</v>
      </c>
      <c r="D87" s="9" t="s">
        <v>81</v>
      </c>
      <c r="E87" s="9" t="s">
        <v>124</v>
      </c>
      <c r="F87" s="9" t="s">
        <v>118</v>
      </c>
      <c r="G87" s="9" t="s">
        <v>115</v>
      </c>
      <c r="H87" s="126">
        <f t="shared" si="3"/>
        <v>0</v>
      </c>
      <c r="I87" s="78"/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51" hidden="1">
      <c r="A88" s="82" t="s">
        <v>237</v>
      </c>
      <c r="B88" s="9"/>
      <c r="C88" s="83" t="s">
        <v>18</v>
      </c>
      <c r="D88" s="9" t="s">
        <v>81</v>
      </c>
      <c r="E88" s="83" t="s">
        <v>124</v>
      </c>
      <c r="F88" s="84" t="s">
        <v>238</v>
      </c>
      <c r="G88" s="84" t="s">
        <v>115</v>
      </c>
      <c r="H88" s="126">
        <f t="shared" si="3"/>
        <v>0</v>
      </c>
      <c r="I88" s="78"/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38.25" hidden="1">
      <c r="A89" s="82" t="s">
        <v>239</v>
      </c>
      <c r="B89" s="9"/>
      <c r="C89" s="83" t="s">
        <v>18</v>
      </c>
      <c r="D89" s="9" t="s">
        <v>81</v>
      </c>
      <c r="E89" s="83" t="s">
        <v>124</v>
      </c>
      <c r="F89" s="84" t="s">
        <v>240</v>
      </c>
      <c r="G89" s="84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/>
    </row>
    <row r="90" spans="1:15" s="25" customFormat="1" ht="25.5">
      <c r="A90" s="85" t="s">
        <v>248</v>
      </c>
      <c r="B90" s="9"/>
      <c r="C90" s="9" t="s">
        <v>20</v>
      </c>
      <c r="D90" s="9" t="s">
        <v>81</v>
      </c>
      <c r="E90" s="83" t="s">
        <v>108</v>
      </c>
      <c r="F90" s="10" t="s">
        <v>247</v>
      </c>
      <c r="G90" s="84" t="s">
        <v>115</v>
      </c>
      <c r="H90" s="126">
        <f t="shared" si="3"/>
        <v>20000</v>
      </c>
      <c r="I90" s="78">
        <f>10000+10000+15000-15000</f>
        <v>20000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25.5">
      <c r="A91" s="22" t="s">
        <v>241</v>
      </c>
      <c r="B91" s="9"/>
      <c r="C91" s="9" t="s">
        <v>20</v>
      </c>
      <c r="D91" s="9" t="s">
        <v>81</v>
      </c>
      <c r="E91" s="9" t="s">
        <v>108</v>
      </c>
      <c r="F91" s="9" t="s">
        <v>242</v>
      </c>
      <c r="G91" s="9" t="s">
        <v>115</v>
      </c>
      <c r="H91" s="126">
        <f t="shared" si="3"/>
        <v>48100</v>
      </c>
      <c r="I91" s="78">
        <f>33100+15000</f>
        <v>48100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 hidden="1">
      <c r="A92" s="85" t="s">
        <v>243</v>
      </c>
      <c r="B92" s="57"/>
      <c r="C92" s="9" t="s">
        <v>20</v>
      </c>
      <c r="D92" s="9" t="s">
        <v>81</v>
      </c>
      <c r="E92" s="9" t="s">
        <v>108</v>
      </c>
      <c r="F92" s="9" t="s">
        <v>244</v>
      </c>
      <c r="G92" s="9" t="s">
        <v>115</v>
      </c>
      <c r="H92" s="126">
        <f t="shared" si="3"/>
        <v>0</v>
      </c>
      <c r="I92" s="78">
        <f>10000-10000</f>
        <v>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12.75" hidden="1">
      <c r="A93" s="22"/>
      <c r="B93" s="9"/>
      <c r="C93" s="9"/>
      <c r="D93" s="9"/>
      <c r="E93" s="9"/>
      <c r="F93" s="9"/>
      <c r="G93" s="9"/>
      <c r="H93" s="126"/>
      <c r="I93" s="78"/>
      <c r="J93" s="78"/>
      <c r="K93" s="107"/>
      <c r="L93" s="107"/>
      <c r="M93" s="107"/>
      <c r="N93" s="107"/>
      <c r="O93" s="6"/>
    </row>
    <row r="94" spans="1:15" s="25" customFormat="1" ht="12.75" hidden="1">
      <c r="A94" s="22"/>
      <c r="B94" s="9"/>
      <c r="C94" s="9"/>
      <c r="D94" s="9"/>
      <c r="E94" s="9"/>
      <c r="F94" s="9"/>
      <c r="G94" s="9"/>
      <c r="H94" s="126"/>
      <c r="I94" s="78"/>
      <c r="J94" s="78"/>
      <c r="K94" s="107"/>
      <c r="L94" s="107"/>
      <c r="M94" s="107"/>
      <c r="N94" s="107"/>
      <c r="O94" s="6"/>
    </row>
    <row r="95" spans="1:15" s="25" customFormat="1" ht="12.75" hidden="1">
      <c r="A95" s="22" t="s">
        <v>188</v>
      </c>
      <c r="B95" s="9"/>
      <c r="C95" s="9" t="s">
        <v>20</v>
      </c>
      <c r="D95" s="9" t="s">
        <v>81</v>
      </c>
      <c r="E95" s="9" t="s">
        <v>108</v>
      </c>
      <c r="F95" s="9" t="s">
        <v>119</v>
      </c>
      <c r="G95" s="9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3.5">
      <c r="A96" s="681" t="s">
        <v>125</v>
      </c>
      <c r="B96" s="683"/>
      <c r="C96" s="27" t="s">
        <v>21</v>
      </c>
      <c r="D96" s="3"/>
      <c r="E96" s="27"/>
      <c r="F96" s="3"/>
      <c r="G96" s="3"/>
      <c r="H96" s="124">
        <f>K96</f>
        <v>653340</v>
      </c>
      <c r="I96" s="98"/>
      <c r="J96" s="97"/>
      <c r="K96" s="97">
        <f>K99</f>
        <v>653340</v>
      </c>
      <c r="L96" s="110"/>
      <c r="M96" s="110"/>
      <c r="N96" s="111" t="s">
        <v>107</v>
      </c>
      <c r="O96" s="28"/>
    </row>
    <row r="97" spans="1:15" s="25" customFormat="1" ht="12.75" hidden="1">
      <c r="A97" s="22" t="s">
        <v>4</v>
      </c>
      <c r="B97" s="9"/>
      <c r="C97" s="9"/>
      <c r="D97" s="9"/>
      <c r="E97" s="9"/>
      <c r="F97" s="9" t="s">
        <v>99</v>
      </c>
      <c r="G97" s="9" t="s">
        <v>109</v>
      </c>
      <c r="H97" s="126">
        <f>I97</f>
        <v>0</v>
      </c>
      <c r="I97" s="78"/>
      <c r="J97" s="78"/>
      <c r="K97" s="116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2.75" hidden="1">
      <c r="A98" s="22" t="s">
        <v>5</v>
      </c>
      <c r="B98" s="9"/>
      <c r="C98" s="9"/>
      <c r="D98" s="9"/>
      <c r="E98" s="9"/>
      <c r="F98" s="9"/>
      <c r="G98" s="9"/>
      <c r="H98" s="126">
        <f>I98</f>
        <v>0</v>
      </c>
      <c r="I98" s="78"/>
      <c r="J98" s="78"/>
      <c r="K98" s="116" t="s">
        <v>76</v>
      </c>
      <c r="L98" s="107" t="s">
        <v>76</v>
      </c>
      <c r="M98" s="107" t="s">
        <v>76</v>
      </c>
      <c r="N98" s="107" t="s">
        <v>76</v>
      </c>
      <c r="O98" s="6" t="s">
        <v>76</v>
      </c>
    </row>
    <row r="99" spans="1:15" s="25" customFormat="1" ht="13.5">
      <c r="A99" s="22" t="s">
        <v>12</v>
      </c>
      <c r="B99" s="9"/>
      <c r="C99" s="41" t="s">
        <v>21</v>
      </c>
      <c r="D99" s="9" t="s">
        <v>89</v>
      </c>
      <c r="E99" s="9" t="s">
        <v>126</v>
      </c>
      <c r="F99" s="9" t="s">
        <v>116</v>
      </c>
      <c r="G99" s="9" t="s">
        <v>115</v>
      </c>
      <c r="H99" s="126">
        <f aca="true" t="shared" si="4" ref="H99:H114">K99</f>
        <v>653340</v>
      </c>
      <c r="I99" s="107" t="s">
        <v>76</v>
      </c>
      <c r="J99" s="78"/>
      <c r="K99" s="391">
        <f>676900-23560</f>
        <v>653340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8.75" customHeight="1" hidden="1">
      <c r="A100" s="687" t="s">
        <v>127</v>
      </c>
      <c r="B100" s="688"/>
      <c r="C100" s="27" t="s">
        <v>22</v>
      </c>
      <c r="D100" s="3"/>
      <c r="E100" s="3"/>
      <c r="F100" s="3"/>
      <c r="G100" s="3"/>
      <c r="H100" s="131">
        <f t="shared" si="4"/>
        <v>0</v>
      </c>
      <c r="I100" s="117"/>
      <c r="J100" s="110"/>
      <c r="K100" s="118">
        <f>K101</f>
        <v>0</v>
      </c>
      <c r="L100" s="117"/>
      <c r="M100" s="117"/>
      <c r="N100" s="117"/>
      <c r="O100" s="6"/>
    </row>
    <row r="101" spans="1:15" s="25" customFormat="1" ht="13.5" customHeight="1" hidden="1">
      <c r="A101" s="22" t="s">
        <v>12</v>
      </c>
      <c r="B101" s="40"/>
      <c r="C101" s="41" t="s">
        <v>22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0</v>
      </c>
      <c r="I101" s="107" t="s">
        <v>76</v>
      </c>
      <c r="J101" s="78"/>
      <c r="K101" s="116"/>
      <c r="L101" s="107"/>
      <c r="M101" s="107"/>
      <c r="N101" s="107" t="s">
        <v>76</v>
      </c>
      <c r="O101" s="6"/>
    </row>
    <row r="102" spans="1:15" s="25" customFormat="1" ht="28.5" customHeight="1">
      <c r="A102" s="39" t="s">
        <v>190</v>
      </c>
      <c r="B102" s="55"/>
      <c r="C102" s="27" t="s">
        <v>41</v>
      </c>
      <c r="D102" s="3"/>
      <c r="E102" s="3"/>
      <c r="F102" s="3"/>
      <c r="G102" s="3"/>
      <c r="H102" s="124">
        <f t="shared" si="4"/>
        <v>24000</v>
      </c>
      <c r="I102" s="119"/>
      <c r="J102" s="97"/>
      <c r="K102" s="120">
        <f>K103</f>
        <v>24000</v>
      </c>
      <c r="L102" s="117"/>
      <c r="M102" s="117"/>
      <c r="N102" s="117"/>
      <c r="O102" s="6"/>
    </row>
    <row r="103" spans="1:15" s="25" customFormat="1" ht="12.75">
      <c r="A103" s="22" t="s">
        <v>12</v>
      </c>
      <c r="B103" s="40"/>
      <c r="C103" s="9" t="s">
        <v>41</v>
      </c>
      <c r="D103" s="9" t="s">
        <v>81</v>
      </c>
      <c r="E103" s="9" t="s">
        <v>154</v>
      </c>
      <c r="F103" s="9" t="s">
        <v>116</v>
      </c>
      <c r="G103" s="9" t="s">
        <v>115</v>
      </c>
      <c r="H103" s="126">
        <f t="shared" si="4"/>
        <v>24000</v>
      </c>
      <c r="I103" s="107" t="s">
        <v>76</v>
      </c>
      <c r="J103" s="78"/>
      <c r="K103" s="116">
        <v>24000</v>
      </c>
      <c r="L103" s="107"/>
      <c r="M103" s="107"/>
      <c r="N103" s="107" t="s">
        <v>76</v>
      </c>
      <c r="O103" s="6"/>
    </row>
    <row r="104" spans="1:15" s="25" customFormat="1" ht="36" customHeight="1">
      <c r="A104" s="681" t="s">
        <v>374</v>
      </c>
      <c r="B104" s="683"/>
      <c r="C104" s="27" t="s">
        <v>373</v>
      </c>
      <c r="D104" s="3"/>
      <c r="E104" s="3"/>
      <c r="F104" s="3"/>
      <c r="G104" s="3"/>
      <c r="H104" s="435">
        <f>K104</f>
        <v>60000</v>
      </c>
      <c r="I104" s="436" t="s">
        <v>76</v>
      </c>
      <c r="J104" s="437"/>
      <c r="K104" s="435">
        <f>SUM(K105:K108)</f>
        <v>60000</v>
      </c>
      <c r="L104" s="435">
        <f>SUM(L105:L108)</f>
        <v>0</v>
      </c>
      <c r="M104" s="435">
        <f>SUM(M105:M108)</f>
        <v>0</v>
      </c>
      <c r="N104" s="435"/>
      <c r="O104" s="6"/>
    </row>
    <row r="105" spans="1:15" s="25" customFormat="1" ht="12.75">
      <c r="A105" s="8" t="s">
        <v>335</v>
      </c>
      <c r="B105" s="40"/>
      <c r="C105" s="60" t="s">
        <v>373</v>
      </c>
      <c r="D105" s="434" t="s">
        <v>332</v>
      </c>
      <c r="E105" s="9" t="s">
        <v>108</v>
      </c>
      <c r="F105" s="9" t="s">
        <v>116</v>
      </c>
      <c r="G105" s="9" t="s">
        <v>115</v>
      </c>
      <c r="H105" s="433">
        <f>K105</f>
        <v>43200</v>
      </c>
      <c r="I105" s="107"/>
      <c r="J105" s="78"/>
      <c r="K105" s="116">
        <v>43200</v>
      </c>
      <c r="L105" s="107"/>
      <c r="M105" s="107"/>
      <c r="N105" s="107"/>
      <c r="O105" s="6"/>
    </row>
    <row r="106" spans="1:15" s="25" customFormat="1" ht="12.75">
      <c r="A106" s="8" t="s">
        <v>336</v>
      </c>
      <c r="B106" s="40"/>
      <c r="C106" s="60" t="s">
        <v>373</v>
      </c>
      <c r="D106" s="434" t="s">
        <v>214</v>
      </c>
      <c r="E106" s="9" t="s">
        <v>108</v>
      </c>
      <c r="F106" s="9" t="s">
        <v>116</v>
      </c>
      <c r="G106" s="9" t="s">
        <v>115</v>
      </c>
      <c r="H106" s="433">
        <f>K106</f>
        <v>4800</v>
      </c>
      <c r="I106" s="107"/>
      <c r="J106" s="78"/>
      <c r="K106" s="116">
        <v>4800</v>
      </c>
      <c r="L106" s="107"/>
      <c r="M106" s="107"/>
      <c r="N106" s="107"/>
      <c r="O106" s="6"/>
    </row>
    <row r="107" spans="1:15" s="25" customFormat="1" ht="12.75">
      <c r="A107" s="8" t="s">
        <v>336</v>
      </c>
      <c r="B107" s="40"/>
      <c r="C107" s="60" t="s">
        <v>373</v>
      </c>
      <c r="D107" s="434" t="s">
        <v>333</v>
      </c>
      <c r="E107" s="9" t="s">
        <v>108</v>
      </c>
      <c r="F107" s="9" t="s">
        <v>116</v>
      </c>
      <c r="G107" s="9" t="s">
        <v>115</v>
      </c>
      <c r="H107" s="433">
        <f>K107</f>
        <v>10800</v>
      </c>
      <c r="I107" s="107"/>
      <c r="J107" s="78"/>
      <c r="K107" s="116">
        <v>10800</v>
      </c>
      <c r="L107" s="107"/>
      <c r="M107" s="107"/>
      <c r="N107" s="107"/>
      <c r="O107" s="6"/>
    </row>
    <row r="108" spans="1:15" s="25" customFormat="1" ht="12.75">
      <c r="A108" s="8" t="s">
        <v>337</v>
      </c>
      <c r="B108" s="40"/>
      <c r="C108" s="60" t="s">
        <v>373</v>
      </c>
      <c r="D108" s="434" t="s">
        <v>216</v>
      </c>
      <c r="E108" s="9" t="s">
        <v>108</v>
      </c>
      <c r="F108" s="9" t="s">
        <v>116</v>
      </c>
      <c r="G108" s="9" t="s">
        <v>115</v>
      </c>
      <c r="H108" s="433">
        <f>K108</f>
        <v>1200</v>
      </c>
      <c r="I108" s="107"/>
      <c r="J108" s="78"/>
      <c r="K108" s="116">
        <v>1200</v>
      </c>
      <c r="L108" s="107"/>
      <c r="M108" s="107"/>
      <c r="N108" s="107"/>
      <c r="O108" s="6"/>
    </row>
    <row r="109" spans="1:15" s="25" customFormat="1" ht="41.25" customHeight="1">
      <c r="A109" s="681" t="s">
        <v>334</v>
      </c>
      <c r="B109" s="683"/>
      <c r="C109" s="27" t="s">
        <v>211</v>
      </c>
      <c r="D109" s="3"/>
      <c r="E109" s="3"/>
      <c r="F109" s="3"/>
      <c r="G109" s="3"/>
      <c r="H109" s="124">
        <f t="shared" si="4"/>
        <v>80000</v>
      </c>
      <c r="I109" s="117" t="s">
        <v>76</v>
      </c>
      <c r="J109" s="110"/>
      <c r="K109" s="97">
        <f>SUM(K110:K114)</f>
        <v>80000</v>
      </c>
      <c r="L109" s="117"/>
      <c r="M109" s="117"/>
      <c r="N109" s="117" t="s">
        <v>76</v>
      </c>
      <c r="O109" s="6"/>
    </row>
    <row r="110" spans="1:15" s="25" customFormat="1" ht="12.75">
      <c r="A110" s="22" t="s">
        <v>12</v>
      </c>
      <c r="B110" s="57"/>
      <c r="C110" s="9" t="s">
        <v>204</v>
      </c>
      <c r="D110" s="9" t="s">
        <v>81</v>
      </c>
      <c r="E110" s="9" t="s">
        <v>108</v>
      </c>
      <c r="F110" s="9" t="s">
        <v>116</v>
      </c>
      <c r="G110" s="9" t="s">
        <v>115</v>
      </c>
      <c r="H110" s="126">
        <f t="shared" si="4"/>
        <v>80000</v>
      </c>
      <c r="I110" s="107" t="s">
        <v>76</v>
      </c>
      <c r="J110" s="107"/>
      <c r="K110" s="116">
        <v>80000</v>
      </c>
      <c r="L110" s="107"/>
      <c r="M110" s="107"/>
      <c r="N110" s="107" t="s">
        <v>76</v>
      </c>
      <c r="O110" s="6"/>
    </row>
    <row r="111" spans="1:15" s="25" customFormat="1" ht="12.75">
      <c r="A111" s="8" t="s">
        <v>335</v>
      </c>
      <c r="B111" s="9"/>
      <c r="C111" s="9" t="s">
        <v>211</v>
      </c>
      <c r="D111" s="393" t="s">
        <v>332</v>
      </c>
      <c r="E111" s="9" t="s">
        <v>108</v>
      </c>
      <c r="F111" s="9" t="s">
        <v>116</v>
      </c>
      <c r="G111" s="9" t="s">
        <v>115</v>
      </c>
      <c r="H111" s="126">
        <f t="shared" si="4"/>
        <v>0</v>
      </c>
      <c r="I111" s="107" t="s">
        <v>76</v>
      </c>
      <c r="J111" s="78"/>
      <c r="K111" s="109"/>
      <c r="L111" s="107"/>
      <c r="M111" s="107"/>
      <c r="N111" s="107" t="s">
        <v>76</v>
      </c>
      <c r="O111" s="64" t="s">
        <v>76</v>
      </c>
    </row>
    <row r="112" spans="1:15" s="25" customFormat="1" ht="12.75">
      <c r="A112" s="8" t="s">
        <v>336</v>
      </c>
      <c r="B112" s="9"/>
      <c r="C112" s="9" t="s">
        <v>211</v>
      </c>
      <c r="D112" s="393" t="s">
        <v>214</v>
      </c>
      <c r="E112" s="9" t="s">
        <v>108</v>
      </c>
      <c r="F112" s="9" t="s">
        <v>116</v>
      </c>
      <c r="G112" s="9" t="s">
        <v>115</v>
      </c>
      <c r="H112" s="126">
        <f t="shared" si="4"/>
        <v>0</v>
      </c>
      <c r="I112" s="107" t="s">
        <v>76</v>
      </c>
      <c r="J112" s="78"/>
      <c r="K112" s="78"/>
      <c r="L112" s="107"/>
      <c r="M112" s="107"/>
      <c r="N112" s="107" t="s">
        <v>76</v>
      </c>
      <c r="O112" s="6"/>
    </row>
    <row r="113" spans="1:15" s="25" customFormat="1" ht="12.75">
      <c r="A113" s="8" t="s">
        <v>336</v>
      </c>
      <c r="B113" s="9"/>
      <c r="C113" s="9" t="s">
        <v>211</v>
      </c>
      <c r="D113" s="393" t="s">
        <v>333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78"/>
      <c r="L113" s="107"/>
      <c r="M113" s="107"/>
      <c r="N113" s="107" t="s">
        <v>76</v>
      </c>
      <c r="O113" s="6"/>
    </row>
    <row r="114" spans="1:15" s="25" customFormat="1" ht="12.75">
      <c r="A114" s="8" t="s">
        <v>337</v>
      </c>
      <c r="B114" s="9"/>
      <c r="C114" s="9" t="s">
        <v>211</v>
      </c>
      <c r="D114" s="393" t="s">
        <v>216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41.25" customHeight="1">
      <c r="A115" s="681" t="s">
        <v>360</v>
      </c>
      <c r="B115" s="683"/>
      <c r="C115" s="27" t="s">
        <v>51</v>
      </c>
      <c r="D115" s="43"/>
      <c r="E115" s="42"/>
      <c r="F115" s="42"/>
      <c r="G115" s="42"/>
      <c r="H115" s="124"/>
      <c r="I115" s="119"/>
      <c r="J115" s="97"/>
      <c r="K115" s="120">
        <f>SUM(K117:K125)</f>
        <v>385325.2</v>
      </c>
      <c r="L115" s="119"/>
      <c r="M115" s="119"/>
      <c r="N115" s="119"/>
      <c r="O115" s="6"/>
    </row>
    <row r="116" spans="1:15" s="25" customFormat="1" ht="12.75" hidden="1">
      <c r="A116" s="61" t="s">
        <v>11</v>
      </c>
      <c r="B116" s="59"/>
      <c r="C116" s="59" t="s">
        <v>51</v>
      </c>
      <c r="D116" s="59" t="s">
        <v>81</v>
      </c>
      <c r="E116" s="59" t="s">
        <v>218</v>
      </c>
      <c r="F116" s="59" t="s">
        <v>121</v>
      </c>
      <c r="G116" s="59" t="s">
        <v>115</v>
      </c>
      <c r="H116" s="127">
        <f aca="true" t="shared" si="5" ref="H116:H125">K116</f>
        <v>0</v>
      </c>
      <c r="I116" s="101" t="s">
        <v>76</v>
      </c>
      <c r="J116" s="102"/>
      <c r="K116" s="104"/>
      <c r="L116" s="102"/>
      <c r="M116" s="100"/>
      <c r="N116" s="101" t="s">
        <v>76</v>
      </c>
      <c r="O116" s="6"/>
    </row>
    <row r="117" spans="1:15" s="25" customFormat="1" ht="12.75">
      <c r="A117" s="727" t="s">
        <v>12</v>
      </c>
      <c r="B117" s="313"/>
      <c r="C117" s="731" t="s">
        <v>51</v>
      </c>
      <c r="D117" s="313" t="s">
        <v>81</v>
      </c>
      <c r="E117" s="731" t="s">
        <v>218</v>
      </c>
      <c r="F117" s="731" t="s">
        <v>116</v>
      </c>
      <c r="G117" s="731" t="s">
        <v>115</v>
      </c>
      <c r="H117" s="314">
        <f t="shared" si="5"/>
        <v>198138.2</v>
      </c>
      <c r="I117" s="315" t="s">
        <v>76</v>
      </c>
      <c r="J117" s="315"/>
      <c r="K117" s="316">
        <f>195152.7+2985.5</f>
        <v>198138.2</v>
      </c>
      <c r="L117" s="315"/>
      <c r="M117" s="315"/>
      <c r="N117" s="315" t="s">
        <v>76</v>
      </c>
      <c r="O117" s="6"/>
    </row>
    <row r="118" spans="1:15" s="25" customFormat="1" ht="12.75">
      <c r="A118" s="734"/>
      <c r="B118" s="313"/>
      <c r="C118" s="732"/>
      <c r="D118" s="313" t="s">
        <v>219</v>
      </c>
      <c r="E118" s="732"/>
      <c r="F118" s="732"/>
      <c r="G118" s="732"/>
      <c r="H118" s="314">
        <f t="shared" si="5"/>
        <v>168468.3</v>
      </c>
      <c r="I118" s="315" t="s">
        <v>76</v>
      </c>
      <c r="J118" s="315"/>
      <c r="K118" s="316">
        <f>148024.8+20443.5</f>
        <v>168468.3</v>
      </c>
      <c r="L118" s="315"/>
      <c r="M118" s="315"/>
      <c r="N118" s="315" t="s">
        <v>76</v>
      </c>
      <c r="O118" s="6"/>
    </row>
    <row r="119" spans="1:15" s="25" customFormat="1" ht="12.75">
      <c r="A119" s="728"/>
      <c r="B119" s="313"/>
      <c r="C119" s="733"/>
      <c r="D119" s="313" t="s">
        <v>196</v>
      </c>
      <c r="E119" s="733"/>
      <c r="F119" s="733"/>
      <c r="G119" s="733"/>
      <c r="H119" s="314">
        <f t="shared" si="5"/>
        <v>9865.1</v>
      </c>
      <c r="I119" s="315"/>
      <c r="J119" s="315"/>
      <c r="K119" s="316">
        <f>7593.6+2271.5</f>
        <v>9865.1</v>
      </c>
      <c r="L119" s="315"/>
      <c r="M119" s="315"/>
      <c r="N119" s="315" t="s">
        <v>76</v>
      </c>
      <c r="O119" s="6"/>
    </row>
    <row r="120" spans="1:15" s="25" customFormat="1" ht="12.75">
      <c r="A120" s="431" t="s">
        <v>362</v>
      </c>
      <c r="B120" s="9"/>
      <c r="C120" s="9" t="s">
        <v>51</v>
      </c>
      <c r="D120" s="9" t="s">
        <v>196</v>
      </c>
      <c r="E120" s="9" t="s">
        <v>218</v>
      </c>
      <c r="F120" s="9" t="s">
        <v>361</v>
      </c>
      <c r="G120" s="9" t="s">
        <v>115</v>
      </c>
      <c r="H120" s="126">
        <f t="shared" si="5"/>
        <v>2272.2</v>
      </c>
      <c r="I120" s="107"/>
      <c r="J120" s="107"/>
      <c r="K120" s="116">
        <v>2272.2</v>
      </c>
      <c r="L120" s="107"/>
      <c r="M120" s="107"/>
      <c r="N120" s="107" t="s">
        <v>76</v>
      </c>
      <c r="O120" s="6"/>
    </row>
    <row r="121" spans="1:15" s="25" customFormat="1" ht="39.75" customHeight="1">
      <c r="A121" s="431" t="s">
        <v>363</v>
      </c>
      <c r="B121" s="9"/>
      <c r="C121" s="9" t="s">
        <v>51</v>
      </c>
      <c r="D121" s="9" t="s">
        <v>196</v>
      </c>
      <c r="E121" s="9" t="s">
        <v>218</v>
      </c>
      <c r="F121" s="9" t="s">
        <v>240</v>
      </c>
      <c r="G121" s="9" t="s">
        <v>115</v>
      </c>
      <c r="H121" s="126">
        <f t="shared" si="5"/>
        <v>2625</v>
      </c>
      <c r="I121" s="107"/>
      <c r="J121" s="107"/>
      <c r="K121" s="116">
        <v>2625</v>
      </c>
      <c r="L121" s="107"/>
      <c r="M121" s="107"/>
      <c r="N121" s="107" t="s">
        <v>76</v>
      </c>
      <c r="O121" s="6"/>
    </row>
    <row r="122" spans="1:15" s="25" customFormat="1" ht="28.5" customHeight="1">
      <c r="A122" s="431" t="s">
        <v>364</v>
      </c>
      <c r="B122" s="9"/>
      <c r="C122" s="9" t="s">
        <v>51</v>
      </c>
      <c r="D122" s="9" t="s">
        <v>196</v>
      </c>
      <c r="E122" s="9" t="s">
        <v>218</v>
      </c>
      <c r="F122" s="9" t="s">
        <v>242</v>
      </c>
      <c r="G122" s="9" t="s">
        <v>115</v>
      </c>
      <c r="H122" s="126">
        <f t="shared" si="5"/>
        <v>3956.4</v>
      </c>
      <c r="I122" s="107"/>
      <c r="J122" s="107"/>
      <c r="K122" s="116">
        <v>3956.4</v>
      </c>
      <c r="L122" s="107"/>
      <c r="M122" s="107"/>
      <c r="N122" s="107" t="s">
        <v>76</v>
      </c>
      <c r="O122" s="6"/>
    </row>
    <row r="123" spans="1:15" s="25" customFormat="1" ht="12.75" hidden="1">
      <c r="A123" s="22" t="s">
        <v>359</v>
      </c>
      <c r="B123" s="9"/>
      <c r="C123" s="9" t="s">
        <v>51</v>
      </c>
      <c r="D123" s="9" t="s">
        <v>81</v>
      </c>
      <c r="E123" s="9" t="s">
        <v>218</v>
      </c>
      <c r="F123" s="9" t="s">
        <v>118</v>
      </c>
      <c r="G123" s="9" t="s">
        <v>115</v>
      </c>
      <c r="H123" s="126">
        <f>K123</f>
        <v>0</v>
      </c>
      <c r="I123" s="107" t="s">
        <v>76</v>
      </c>
      <c r="J123" s="107"/>
      <c r="K123" s="116"/>
      <c r="L123" s="101"/>
      <c r="M123" s="101"/>
      <c r="N123" s="101" t="s">
        <v>76</v>
      </c>
      <c r="O123" s="6"/>
    </row>
    <row r="124" spans="1:15" s="25" customFormat="1" ht="12.75" hidden="1">
      <c r="A124" s="684" t="s">
        <v>221</v>
      </c>
      <c r="B124" s="9"/>
      <c r="C124" s="678" t="s">
        <v>51</v>
      </c>
      <c r="D124" s="9" t="s">
        <v>81</v>
      </c>
      <c r="E124" s="678" t="s">
        <v>218</v>
      </c>
      <c r="F124" s="678" t="s">
        <v>119</v>
      </c>
      <c r="G124" s="678" t="s">
        <v>115</v>
      </c>
      <c r="H124" s="126">
        <f t="shared" si="5"/>
        <v>0</v>
      </c>
      <c r="I124" s="107" t="s">
        <v>76</v>
      </c>
      <c r="J124" s="107"/>
      <c r="K124" s="116"/>
      <c r="L124" s="101"/>
      <c r="M124" s="101"/>
      <c r="N124" s="101" t="s">
        <v>76</v>
      </c>
      <c r="O124" s="6"/>
    </row>
    <row r="125" spans="1:15" s="25" customFormat="1" ht="12.75" hidden="1">
      <c r="A125" s="686"/>
      <c r="B125" s="9"/>
      <c r="C125" s="680"/>
      <c r="D125" s="9" t="s">
        <v>196</v>
      </c>
      <c r="E125" s="680"/>
      <c r="F125" s="680"/>
      <c r="G125" s="680"/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5" customHeight="1">
      <c r="A126" s="681" t="s">
        <v>210</v>
      </c>
      <c r="B126" s="683"/>
      <c r="C126" s="27" t="s">
        <v>163</v>
      </c>
      <c r="D126" s="44"/>
      <c r="E126" s="3"/>
      <c r="F126" s="3"/>
      <c r="G126" s="3"/>
      <c r="H126" s="131"/>
      <c r="I126" s="117"/>
      <c r="J126" s="110"/>
      <c r="K126" s="120">
        <f>K127+K128</f>
        <v>950000</v>
      </c>
      <c r="L126" s="117"/>
      <c r="M126" s="117"/>
      <c r="N126" s="117"/>
      <c r="O126" s="6"/>
    </row>
    <row r="127" spans="1:15" s="25" customFormat="1" ht="15.75" customHeight="1">
      <c r="A127" s="22" t="s">
        <v>11</v>
      </c>
      <c r="B127" s="40"/>
      <c r="C127" s="41" t="s">
        <v>163</v>
      </c>
      <c r="D127" s="6" t="s">
        <v>162</v>
      </c>
      <c r="E127" s="9" t="s">
        <v>157</v>
      </c>
      <c r="F127" s="46">
        <v>225</v>
      </c>
      <c r="G127" s="9" t="s">
        <v>115</v>
      </c>
      <c r="H127" s="129" t="s">
        <v>76</v>
      </c>
      <c r="I127" s="107" t="s">
        <v>76</v>
      </c>
      <c r="J127" s="78"/>
      <c r="K127" s="116">
        <v>950000</v>
      </c>
      <c r="L127" s="107"/>
      <c r="M127" s="107"/>
      <c r="N127" s="107" t="s">
        <v>76</v>
      </c>
      <c r="O127" s="6"/>
    </row>
    <row r="128" spans="1:15" s="25" customFormat="1" ht="13.5" hidden="1">
      <c r="A128" s="47" t="s">
        <v>14</v>
      </c>
      <c r="B128" s="40"/>
      <c r="C128" s="41" t="s">
        <v>163</v>
      </c>
      <c r="D128" s="6" t="s">
        <v>162</v>
      </c>
      <c r="E128" s="9" t="s">
        <v>157</v>
      </c>
      <c r="F128" s="9" t="s">
        <v>118</v>
      </c>
      <c r="G128" s="9" t="s">
        <v>115</v>
      </c>
      <c r="H128" s="126"/>
      <c r="I128" s="107"/>
      <c r="J128" s="78"/>
      <c r="K128" s="116"/>
      <c r="L128" s="107"/>
      <c r="M128" s="107"/>
      <c r="N128" s="107"/>
      <c r="O128" s="6"/>
    </row>
    <row r="129" spans="1:15" s="25" customFormat="1" ht="15" customHeight="1" hidden="1">
      <c r="A129" s="681" t="s">
        <v>177</v>
      </c>
      <c r="B129" s="683"/>
      <c r="C129" s="27" t="s">
        <v>23</v>
      </c>
      <c r="D129" s="44"/>
      <c r="E129" s="3"/>
      <c r="F129" s="3"/>
      <c r="G129" s="3"/>
      <c r="H129" s="131"/>
      <c r="I129" s="117"/>
      <c r="J129" s="110"/>
      <c r="K129" s="118">
        <f>K130</f>
        <v>0</v>
      </c>
      <c r="L129" s="117"/>
      <c r="M129" s="117"/>
      <c r="N129" s="117"/>
      <c r="O129" s="6"/>
    </row>
    <row r="130" spans="1:15" s="25" customFormat="1" ht="15" customHeight="1" hidden="1">
      <c r="A130" s="22" t="s">
        <v>178</v>
      </c>
      <c r="B130" s="9"/>
      <c r="C130" s="9" t="s">
        <v>23</v>
      </c>
      <c r="D130" s="9" t="s">
        <v>81</v>
      </c>
      <c r="E130" s="9" t="s">
        <v>108</v>
      </c>
      <c r="F130" s="9" t="s">
        <v>116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29.25" customHeight="1" hidden="1">
      <c r="A131" s="681" t="s">
        <v>191</v>
      </c>
      <c r="B131" s="683"/>
      <c r="C131" s="27" t="s">
        <v>192</v>
      </c>
      <c r="D131" s="3"/>
      <c r="E131" s="3"/>
      <c r="F131" s="3"/>
      <c r="G131" s="3"/>
      <c r="H131" s="124">
        <f aca="true" t="shared" si="6" ref="H131:H137">K131</f>
        <v>0</v>
      </c>
      <c r="I131" s="119"/>
      <c r="J131" s="97"/>
      <c r="K131" s="97">
        <f>K132+K133</f>
        <v>0</v>
      </c>
      <c r="L131" s="117"/>
      <c r="M131" s="117"/>
      <c r="N131" s="117"/>
      <c r="O131" s="6"/>
    </row>
    <row r="132" spans="1:15" s="25" customFormat="1" ht="16.5" customHeight="1" hidden="1">
      <c r="A132" s="61" t="s">
        <v>195</v>
      </c>
      <c r="B132" s="67"/>
      <c r="C132" s="59" t="s">
        <v>192</v>
      </c>
      <c r="D132" s="59" t="s">
        <v>193</v>
      </c>
      <c r="E132" s="59" t="s">
        <v>108</v>
      </c>
      <c r="F132" s="59" t="s">
        <v>121</v>
      </c>
      <c r="G132" s="59" t="s">
        <v>194</v>
      </c>
      <c r="H132" s="127">
        <f t="shared" si="6"/>
        <v>0</v>
      </c>
      <c r="I132" s="101" t="s">
        <v>76</v>
      </c>
      <c r="J132" s="100"/>
      <c r="K132" s="104"/>
      <c r="L132" s="101"/>
      <c r="M132" s="101"/>
      <c r="N132" s="101" t="s">
        <v>76</v>
      </c>
      <c r="O132" s="6"/>
    </row>
    <row r="133" spans="1:15" s="25" customFormat="1" ht="16.5" customHeight="1" hidden="1">
      <c r="A133" s="61" t="s">
        <v>195</v>
      </c>
      <c r="B133" s="68"/>
      <c r="C133" s="59" t="s">
        <v>192</v>
      </c>
      <c r="D133" s="59" t="s">
        <v>196</v>
      </c>
      <c r="E133" s="59" t="s">
        <v>108</v>
      </c>
      <c r="F133" s="59" t="s">
        <v>121</v>
      </c>
      <c r="G133" s="59" t="s">
        <v>194</v>
      </c>
      <c r="H133" s="127">
        <f t="shared" si="6"/>
        <v>0</v>
      </c>
      <c r="I133" s="101" t="s">
        <v>76</v>
      </c>
      <c r="J133" s="100"/>
      <c r="K133" s="104"/>
      <c r="L133" s="101"/>
      <c r="M133" s="101"/>
      <c r="N133" s="101" t="s">
        <v>76</v>
      </c>
      <c r="O133" s="6"/>
    </row>
    <row r="134" spans="1:15" s="25" customFormat="1" ht="16.5" customHeight="1">
      <c r="A134" s="39" t="s">
        <v>222</v>
      </c>
      <c r="B134" s="38"/>
      <c r="C134" s="27" t="s">
        <v>203</v>
      </c>
      <c r="D134" s="3"/>
      <c r="E134" s="3"/>
      <c r="F134" s="3"/>
      <c r="G134" s="3"/>
      <c r="H134" s="124">
        <f t="shared" si="6"/>
        <v>10000</v>
      </c>
      <c r="I134" s="117" t="s">
        <v>76</v>
      </c>
      <c r="J134" s="110"/>
      <c r="K134" s="120">
        <f>K135</f>
        <v>10000</v>
      </c>
      <c r="L134" s="117"/>
      <c r="M134" s="117"/>
      <c r="N134" s="117" t="s">
        <v>76</v>
      </c>
      <c r="O134" s="6"/>
    </row>
    <row r="135" spans="1:15" s="25" customFormat="1" ht="24" customHeight="1">
      <c r="A135" s="22" t="s">
        <v>236</v>
      </c>
      <c r="B135" s="40"/>
      <c r="C135" s="9" t="s">
        <v>203</v>
      </c>
      <c r="D135" s="9" t="s">
        <v>81</v>
      </c>
      <c r="E135" s="9" t="s">
        <v>108</v>
      </c>
      <c r="F135" s="9" t="s">
        <v>205</v>
      </c>
      <c r="G135" s="9" t="s">
        <v>123</v>
      </c>
      <c r="H135" s="126">
        <f t="shared" si="6"/>
        <v>10000</v>
      </c>
      <c r="I135" s="107" t="s">
        <v>76</v>
      </c>
      <c r="J135" s="78"/>
      <c r="K135" s="121">
        <v>10000</v>
      </c>
      <c r="L135" s="107"/>
      <c r="M135" s="107"/>
      <c r="N135" s="107" t="s">
        <v>76</v>
      </c>
      <c r="O135" s="6"/>
    </row>
    <row r="136" spans="1:15" s="25" customFormat="1" ht="12.75" hidden="1">
      <c r="A136" s="75" t="s">
        <v>226</v>
      </c>
      <c r="B136" s="58"/>
      <c r="C136" s="42" t="s">
        <v>23</v>
      </c>
      <c r="D136" s="42"/>
      <c r="E136" s="42"/>
      <c r="F136" s="42"/>
      <c r="G136" s="42"/>
      <c r="H136" s="125">
        <f t="shared" si="6"/>
        <v>0</v>
      </c>
      <c r="I136" s="119"/>
      <c r="J136" s="98"/>
      <c r="K136" s="97">
        <f>K137</f>
        <v>0</v>
      </c>
      <c r="L136" s="119"/>
      <c r="M136" s="119"/>
      <c r="N136" s="119"/>
      <c r="O136" s="6"/>
    </row>
    <row r="137" spans="1:15" s="25" customFormat="1" ht="12.75" hidden="1">
      <c r="A137" s="76" t="s">
        <v>227</v>
      </c>
      <c r="B137" s="57"/>
      <c r="C137" s="9" t="s">
        <v>23</v>
      </c>
      <c r="D137" s="9" t="s">
        <v>228</v>
      </c>
      <c r="E137" s="9" t="s">
        <v>157</v>
      </c>
      <c r="F137" s="9" t="s">
        <v>116</v>
      </c>
      <c r="G137" s="9" t="s">
        <v>115</v>
      </c>
      <c r="H137" s="129">
        <f t="shared" si="6"/>
        <v>0</v>
      </c>
      <c r="I137" s="107"/>
      <c r="J137" s="26"/>
      <c r="K137" s="78"/>
      <c r="L137" s="107"/>
      <c r="M137" s="107"/>
      <c r="N137" s="107"/>
      <c r="O137" s="6"/>
    </row>
    <row r="138" spans="1:15" s="25" customFormat="1" ht="12.75" hidden="1">
      <c r="A138" s="77" t="s">
        <v>231</v>
      </c>
      <c r="B138" s="58"/>
      <c r="C138" s="87" t="s">
        <v>230</v>
      </c>
      <c r="D138" s="53"/>
      <c r="E138" s="53"/>
      <c r="F138" s="53"/>
      <c r="G138" s="53"/>
      <c r="H138" s="124">
        <f>K138</f>
        <v>0</v>
      </c>
      <c r="I138" s="119"/>
      <c r="J138" s="97"/>
      <c r="K138" s="98">
        <f>K139</f>
        <v>0</v>
      </c>
      <c r="L138" s="119"/>
      <c r="M138" s="119"/>
      <c r="N138" s="119"/>
      <c r="O138" s="6"/>
    </row>
    <row r="139" spans="1:15" s="25" customFormat="1" ht="12.75" hidden="1">
      <c r="A139" s="22" t="s">
        <v>227</v>
      </c>
      <c r="B139" s="57"/>
      <c r="C139" s="9" t="s">
        <v>230</v>
      </c>
      <c r="D139" s="9" t="s">
        <v>81</v>
      </c>
      <c r="E139" s="9" t="s">
        <v>232</v>
      </c>
      <c r="F139" s="9" t="s">
        <v>116</v>
      </c>
      <c r="G139" s="9" t="s">
        <v>115</v>
      </c>
      <c r="H139" s="126">
        <f>K139</f>
        <v>0</v>
      </c>
      <c r="I139" s="107"/>
      <c r="J139" s="78"/>
      <c r="K139" s="26"/>
      <c r="L139" s="107"/>
      <c r="M139" s="107"/>
      <c r="N139" s="107"/>
      <c r="O139" s="6"/>
    </row>
    <row r="140" spans="1:15" s="25" customFormat="1" ht="29.25" customHeight="1">
      <c r="A140" s="681" t="s">
        <v>224</v>
      </c>
      <c r="B140" s="682"/>
      <c r="C140" s="27" t="s">
        <v>80</v>
      </c>
      <c r="D140" s="3"/>
      <c r="E140" s="3"/>
      <c r="F140" s="3"/>
      <c r="G140" s="3"/>
      <c r="H140" s="124">
        <f>N140</f>
        <v>99500.00000000001</v>
      </c>
      <c r="I140" s="119"/>
      <c r="J140" s="119"/>
      <c r="K140" s="119"/>
      <c r="L140" s="119"/>
      <c r="M140" s="119"/>
      <c r="N140" s="97">
        <f>SUM(N141:N150)</f>
        <v>99500.00000000001</v>
      </c>
      <c r="O140" s="6"/>
    </row>
    <row r="141" spans="1:15" s="25" customFormat="1" ht="13.5" customHeight="1" hidden="1">
      <c r="A141" s="45" t="s">
        <v>8</v>
      </c>
      <c r="B141" s="8"/>
      <c r="C141" s="9" t="s">
        <v>80</v>
      </c>
      <c r="D141" s="9" t="s">
        <v>81</v>
      </c>
      <c r="E141" s="9" t="s">
        <v>108</v>
      </c>
      <c r="F141" s="9" t="s">
        <v>128</v>
      </c>
      <c r="G141" s="9" t="s">
        <v>115</v>
      </c>
      <c r="H141" s="126">
        <f aca="true" t="shared" si="7" ref="H141:H148">N141</f>
        <v>0</v>
      </c>
      <c r="I141" s="107" t="s">
        <v>76</v>
      </c>
      <c r="J141" s="107" t="s">
        <v>76</v>
      </c>
      <c r="K141" s="107" t="s">
        <v>76</v>
      </c>
      <c r="L141" s="107" t="s">
        <v>76</v>
      </c>
      <c r="M141" s="107"/>
      <c r="N141" s="122"/>
      <c r="O141" s="6"/>
    </row>
    <row r="142" spans="1:15" s="25" customFormat="1" ht="13.5" customHeight="1" hidden="1">
      <c r="A142" s="22" t="s">
        <v>11</v>
      </c>
      <c r="B142" s="9"/>
      <c r="C142" s="9" t="s">
        <v>80</v>
      </c>
      <c r="D142" s="9" t="s">
        <v>81</v>
      </c>
      <c r="E142" s="9" t="s">
        <v>108</v>
      </c>
      <c r="F142" s="9" t="s">
        <v>121</v>
      </c>
      <c r="G142" s="9" t="s">
        <v>115</v>
      </c>
      <c r="H142" s="126">
        <f t="shared" si="7"/>
        <v>0</v>
      </c>
      <c r="I142" s="107" t="s">
        <v>76</v>
      </c>
      <c r="J142" s="107" t="s">
        <v>76</v>
      </c>
      <c r="K142" s="107" t="s">
        <v>76</v>
      </c>
      <c r="L142" s="107" t="s">
        <v>76</v>
      </c>
      <c r="M142" s="107"/>
      <c r="N142" s="122"/>
      <c r="O142" s="6"/>
    </row>
    <row r="143" spans="1:15" s="25" customFormat="1" ht="13.5" customHeight="1">
      <c r="A143" s="22" t="s">
        <v>11</v>
      </c>
      <c r="B143" s="9"/>
      <c r="C143" s="9" t="s">
        <v>80</v>
      </c>
      <c r="D143" s="9" t="s">
        <v>81</v>
      </c>
      <c r="E143" s="9" t="s">
        <v>218</v>
      </c>
      <c r="F143" s="9" t="s">
        <v>121</v>
      </c>
      <c r="G143" s="9" t="s">
        <v>115</v>
      </c>
      <c r="H143" s="126">
        <f>N143</f>
        <v>2815.2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 t="s">
        <v>76</v>
      </c>
      <c r="N143" s="78">
        <v>2815.2</v>
      </c>
      <c r="O143" s="6"/>
    </row>
    <row r="144" spans="1:15" s="25" customFormat="1" ht="13.5" customHeight="1">
      <c r="A144" s="22" t="s">
        <v>12</v>
      </c>
      <c r="B144" s="9"/>
      <c r="C144" s="9" t="s">
        <v>80</v>
      </c>
      <c r="D144" s="9" t="s">
        <v>81</v>
      </c>
      <c r="E144" s="9" t="s">
        <v>218</v>
      </c>
      <c r="F144" s="9" t="s">
        <v>116</v>
      </c>
      <c r="G144" s="9" t="s">
        <v>115</v>
      </c>
      <c r="H144" s="126">
        <f t="shared" si="7"/>
        <v>13427.57</v>
      </c>
      <c r="I144" s="107" t="s">
        <v>76</v>
      </c>
      <c r="J144" s="107"/>
      <c r="K144" s="107" t="s">
        <v>76</v>
      </c>
      <c r="L144" s="107" t="s">
        <v>76</v>
      </c>
      <c r="M144" s="107"/>
      <c r="N144" s="433">
        <v>13427.57</v>
      </c>
      <c r="O144" s="6"/>
    </row>
    <row r="145" spans="1:15" s="25" customFormat="1" ht="13.5" customHeight="1">
      <c r="A145" s="22" t="s">
        <v>362</v>
      </c>
      <c r="B145" s="9"/>
      <c r="C145" s="9" t="s">
        <v>80</v>
      </c>
      <c r="D145" s="9" t="s">
        <v>81</v>
      </c>
      <c r="E145" s="9" t="s">
        <v>218</v>
      </c>
      <c r="F145" s="9" t="s">
        <v>361</v>
      </c>
      <c r="G145" s="9" t="s">
        <v>115</v>
      </c>
      <c r="H145" s="126">
        <f t="shared" si="7"/>
        <v>3408.3</v>
      </c>
      <c r="I145" s="107"/>
      <c r="J145" s="107"/>
      <c r="K145" s="107"/>
      <c r="L145" s="107"/>
      <c r="M145" s="107"/>
      <c r="N145" s="433">
        <v>3408.3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108</v>
      </c>
      <c r="F146" s="9" t="s">
        <v>116</v>
      </c>
      <c r="G146" s="9" t="s">
        <v>115</v>
      </c>
      <c r="H146" s="126">
        <f>N146</f>
        <v>30000</v>
      </c>
      <c r="I146" s="107" t="s">
        <v>76</v>
      </c>
      <c r="J146" s="107" t="s">
        <v>76</v>
      </c>
      <c r="K146" s="107" t="s">
        <v>76</v>
      </c>
      <c r="L146" s="107" t="s">
        <v>76</v>
      </c>
      <c r="M146" s="107" t="s">
        <v>76</v>
      </c>
      <c r="N146" s="78">
        <v>30000</v>
      </c>
      <c r="O146" s="6"/>
    </row>
    <row r="147" spans="1:15" s="25" customFormat="1" ht="13.5" customHeight="1">
      <c r="A147" s="22" t="s">
        <v>14</v>
      </c>
      <c r="B147" s="9"/>
      <c r="C147" s="9" t="s">
        <v>80</v>
      </c>
      <c r="D147" s="9" t="s">
        <v>81</v>
      </c>
      <c r="E147" s="9" t="s">
        <v>108</v>
      </c>
      <c r="F147" s="9" t="s">
        <v>118</v>
      </c>
      <c r="G147" s="9" t="s">
        <v>115</v>
      </c>
      <c r="H147" s="126">
        <f t="shared" si="7"/>
        <v>35000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/>
      <c r="N147" s="122">
        <v>35000</v>
      </c>
      <c r="O147" s="6"/>
    </row>
    <row r="148" spans="1:15" s="25" customFormat="1" ht="39" customHeight="1">
      <c r="A148" s="22" t="s">
        <v>363</v>
      </c>
      <c r="B148" s="9"/>
      <c r="C148" s="9" t="s">
        <v>80</v>
      </c>
      <c r="D148" s="9" t="s">
        <v>81</v>
      </c>
      <c r="E148" s="9" t="s">
        <v>218</v>
      </c>
      <c r="F148" s="9" t="s">
        <v>240</v>
      </c>
      <c r="G148" s="9" t="s">
        <v>115</v>
      </c>
      <c r="H148" s="126">
        <f t="shared" si="7"/>
        <v>3937.5</v>
      </c>
      <c r="I148" s="107" t="s">
        <v>76</v>
      </c>
      <c r="J148" s="107"/>
      <c r="K148" s="107" t="s">
        <v>76</v>
      </c>
      <c r="L148" s="107" t="s">
        <v>76</v>
      </c>
      <c r="M148" s="107"/>
      <c r="N148" s="99">
        <v>3937.5</v>
      </c>
      <c r="O148" s="6"/>
    </row>
    <row r="149" spans="1:15" s="25" customFormat="1" ht="30.75" customHeight="1">
      <c r="A149" s="431" t="s">
        <v>364</v>
      </c>
      <c r="B149" s="20"/>
      <c r="C149" s="9" t="s">
        <v>80</v>
      </c>
      <c r="D149" s="9" t="s">
        <v>81</v>
      </c>
      <c r="E149" s="9" t="s">
        <v>218</v>
      </c>
      <c r="F149" s="9" t="s">
        <v>242</v>
      </c>
      <c r="G149" s="9" t="s">
        <v>115</v>
      </c>
      <c r="H149" s="126">
        <f>N149</f>
        <v>7087.63</v>
      </c>
      <c r="I149" s="107" t="s">
        <v>76</v>
      </c>
      <c r="J149" s="108"/>
      <c r="K149" s="107" t="s">
        <v>76</v>
      </c>
      <c r="L149" s="108"/>
      <c r="M149" s="108"/>
      <c r="N149" s="78">
        <v>7087.63</v>
      </c>
      <c r="O149" s="6"/>
    </row>
    <row r="150" spans="1:15" s="25" customFormat="1" ht="30.75" customHeight="1">
      <c r="A150" s="431" t="s">
        <v>243</v>
      </c>
      <c r="B150" s="20"/>
      <c r="C150" s="9" t="s">
        <v>80</v>
      </c>
      <c r="D150" s="9" t="s">
        <v>81</v>
      </c>
      <c r="E150" s="9" t="s">
        <v>218</v>
      </c>
      <c r="F150" s="9" t="s">
        <v>244</v>
      </c>
      <c r="G150" s="9" t="s">
        <v>115</v>
      </c>
      <c r="H150" s="126">
        <f>N150</f>
        <v>3823.8</v>
      </c>
      <c r="I150" s="107"/>
      <c r="J150" s="108"/>
      <c r="K150" s="107"/>
      <c r="L150" s="108"/>
      <c r="M150" s="108"/>
      <c r="N150" s="78">
        <v>3823.8</v>
      </c>
      <c r="O150" s="6"/>
    </row>
    <row r="151" spans="1:15" s="25" customFormat="1" ht="27">
      <c r="A151" s="96" t="s">
        <v>129</v>
      </c>
      <c r="B151" s="32" t="s">
        <v>130</v>
      </c>
      <c r="C151" s="33" t="s">
        <v>76</v>
      </c>
      <c r="D151" s="33" t="s">
        <v>76</v>
      </c>
      <c r="E151" s="33" t="s">
        <v>76</v>
      </c>
      <c r="F151" s="33" t="s">
        <v>76</v>
      </c>
      <c r="G151" s="33" t="s">
        <v>76</v>
      </c>
      <c r="H151" s="130">
        <f>I151+N151+K151</f>
        <v>16689700</v>
      </c>
      <c r="I151" s="130">
        <f>I55+I58+I85+I86+I56+I70</f>
        <v>16679700</v>
      </c>
      <c r="J151" s="130"/>
      <c r="K151" s="130">
        <f>K135</f>
        <v>10000</v>
      </c>
      <c r="L151" s="134" t="s">
        <v>76</v>
      </c>
      <c r="M151" s="134" t="s">
        <v>76</v>
      </c>
      <c r="N151" s="130"/>
      <c r="O151" s="6" t="s">
        <v>76</v>
      </c>
    </row>
    <row r="152" spans="1:15" s="25" customFormat="1" ht="27">
      <c r="A152" s="96" t="s">
        <v>131</v>
      </c>
      <c r="B152" s="32" t="s">
        <v>132</v>
      </c>
      <c r="C152" s="33" t="s">
        <v>76</v>
      </c>
      <c r="D152" s="33" t="s">
        <v>76</v>
      </c>
      <c r="E152" s="33" t="s">
        <v>76</v>
      </c>
      <c r="F152" s="33" t="s">
        <v>76</v>
      </c>
      <c r="G152" s="33" t="s">
        <v>76</v>
      </c>
      <c r="H152" s="130">
        <f>H154+H153</f>
        <v>6619304.2</v>
      </c>
      <c r="I152" s="130">
        <f>I154+I153</f>
        <v>4367139</v>
      </c>
      <c r="J152" s="130">
        <f>J154+J153</f>
        <v>0</v>
      </c>
      <c r="K152" s="130">
        <f>K154+K153</f>
        <v>2152665.2</v>
      </c>
      <c r="L152" s="134"/>
      <c r="M152" s="134"/>
      <c r="N152" s="130">
        <f>N154+N153</f>
        <v>99500</v>
      </c>
      <c r="O152" s="6"/>
    </row>
    <row r="153" spans="1:15" s="25" customFormat="1" ht="24" customHeight="1">
      <c r="A153" s="96" t="s">
        <v>133</v>
      </c>
      <c r="B153" s="32" t="s">
        <v>134</v>
      </c>
      <c r="C153" s="33" t="s">
        <v>76</v>
      </c>
      <c r="D153" s="33" t="s">
        <v>76</v>
      </c>
      <c r="E153" s="33" t="s">
        <v>76</v>
      </c>
      <c r="F153" s="33" t="s">
        <v>76</v>
      </c>
      <c r="G153" s="33" t="s">
        <v>76</v>
      </c>
      <c r="H153" s="130">
        <f>I153+N153+K153</f>
        <v>0</v>
      </c>
      <c r="I153" s="130"/>
      <c r="J153" s="130"/>
      <c r="K153" s="130">
        <v>0</v>
      </c>
      <c r="L153" s="134"/>
      <c r="M153" s="134"/>
      <c r="N153" s="130">
        <v>0</v>
      </c>
      <c r="O153" s="6"/>
    </row>
    <row r="154" spans="1:15" s="25" customFormat="1" ht="12.75" customHeight="1">
      <c r="A154" s="96" t="s">
        <v>135</v>
      </c>
      <c r="B154" s="32" t="s">
        <v>136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6619304.2</v>
      </c>
      <c r="I154" s="130">
        <f>I60+I65+I66+I67+I68+I71+I76+I77+I79+I81+I82+I83+I84+I95+I90+I91+I72+I73+I74+I75+I92+I80</f>
        <v>4367139</v>
      </c>
      <c r="J154" s="130"/>
      <c r="K154" s="130">
        <f>K99+K103+K132+K133+K117+K118+K119+K125+K127+K111+K112+K113+K114+K110+K137+K139+K124+K120+K121+K122+K105+K106++K107+K108</f>
        <v>2152665.2</v>
      </c>
      <c r="L154" s="134" t="s">
        <v>76</v>
      </c>
      <c r="M154" s="134" t="s">
        <v>76</v>
      </c>
      <c r="N154" s="130">
        <f>N141+N142+N144+N147+N148+N143+N146+N149+N145+N150</f>
        <v>99500</v>
      </c>
      <c r="O154" s="6" t="s">
        <v>76</v>
      </c>
    </row>
    <row r="155" spans="1:15" s="25" customFormat="1" ht="13.5" hidden="1">
      <c r="A155" s="8" t="s">
        <v>137</v>
      </c>
      <c r="B155" s="9" t="s">
        <v>138</v>
      </c>
      <c r="C155" s="34" t="s">
        <v>76</v>
      </c>
      <c r="D155" s="34" t="s">
        <v>76</v>
      </c>
      <c r="E155" s="34" t="s">
        <v>76</v>
      </c>
      <c r="F155" s="34" t="s">
        <v>76</v>
      </c>
      <c r="G155" s="34" t="s">
        <v>76</v>
      </c>
      <c r="H155" s="126">
        <f>I155+N155</f>
        <v>0</v>
      </c>
      <c r="I155" s="126">
        <v>0</v>
      </c>
      <c r="J155" s="126"/>
      <c r="K155" s="126"/>
      <c r="L155" s="135" t="s">
        <v>76</v>
      </c>
      <c r="M155" s="135" t="s">
        <v>76</v>
      </c>
      <c r="N155" s="126">
        <v>0</v>
      </c>
      <c r="O155" s="6" t="s">
        <v>76</v>
      </c>
    </row>
    <row r="156" spans="1:15" s="25" customFormat="1" ht="13.5" hidden="1">
      <c r="A156" s="20" t="s">
        <v>139</v>
      </c>
      <c r="B156" s="9" t="s">
        <v>118</v>
      </c>
      <c r="C156" s="34" t="s">
        <v>76</v>
      </c>
      <c r="D156" s="34" t="s">
        <v>76</v>
      </c>
      <c r="E156" s="34" t="s">
        <v>76</v>
      </c>
      <c r="F156" s="34" t="s">
        <v>76</v>
      </c>
      <c r="G156" s="34" t="s">
        <v>76</v>
      </c>
      <c r="H156" s="126">
        <v>0</v>
      </c>
      <c r="I156" s="126">
        <v>0</v>
      </c>
      <c r="J156" s="126"/>
      <c r="K156" s="126"/>
      <c r="L156" s="135" t="s">
        <v>76</v>
      </c>
      <c r="M156" s="135" t="s">
        <v>76</v>
      </c>
      <c r="N156" s="126">
        <v>0</v>
      </c>
      <c r="O156" s="6" t="s">
        <v>76</v>
      </c>
    </row>
    <row r="157" spans="1:15" s="25" customFormat="1" ht="13.5" hidden="1">
      <c r="A157" s="20" t="s">
        <v>140</v>
      </c>
      <c r="B157" s="9" t="s">
        <v>141</v>
      </c>
      <c r="C157" s="34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126">
        <v>0</v>
      </c>
      <c r="I157" s="126">
        <v>0</v>
      </c>
      <c r="J157" s="126"/>
      <c r="K157" s="126"/>
      <c r="L157" s="135" t="s">
        <v>76</v>
      </c>
      <c r="M157" s="135" t="s">
        <v>76</v>
      </c>
      <c r="N157" s="126">
        <v>0</v>
      </c>
      <c r="O157" s="6" t="s">
        <v>76</v>
      </c>
    </row>
    <row r="158" spans="1:15" s="25" customFormat="1" ht="13.5" hidden="1">
      <c r="A158" s="20" t="s">
        <v>142</v>
      </c>
      <c r="B158" s="9" t="s">
        <v>143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144</v>
      </c>
      <c r="B159" s="9" t="s">
        <v>145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146</v>
      </c>
      <c r="B160" s="9" t="s">
        <v>147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>
      <c r="A161" s="48" t="s">
        <v>137</v>
      </c>
      <c r="B161" s="49" t="s">
        <v>138</v>
      </c>
      <c r="C161" s="50" t="s">
        <v>173</v>
      </c>
      <c r="D161" s="49" t="s">
        <v>81</v>
      </c>
      <c r="E161" s="50" t="s">
        <v>174</v>
      </c>
      <c r="F161" s="50" t="s">
        <v>174</v>
      </c>
      <c r="G161" s="50" t="s">
        <v>175</v>
      </c>
      <c r="H161" s="132">
        <v>28653.9</v>
      </c>
      <c r="I161" s="136"/>
      <c r="J161" s="136"/>
      <c r="K161" s="136"/>
      <c r="L161" s="137"/>
      <c r="M161" s="137"/>
      <c r="N161" s="136"/>
      <c r="O161" s="6"/>
    </row>
    <row r="162" spans="1:15" s="25" customFormat="1" ht="13.5">
      <c r="A162" s="51" t="s">
        <v>142</v>
      </c>
      <c r="B162" s="49" t="s">
        <v>143</v>
      </c>
      <c r="C162" s="50" t="s">
        <v>173</v>
      </c>
      <c r="D162" s="49" t="s">
        <v>81</v>
      </c>
      <c r="E162" s="50" t="s">
        <v>174</v>
      </c>
      <c r="F162" s="50" t="s">
        <v>174</v>
      </c>
      <c r="G162" s="50" t="s">
        <v>176</v>
      </c>
      <c r="H162" s="132">
        <v>28653.9</v>
      </c>
      <c r="I162" s="136"/>
      <c r="J162" s="136"/>
      <c r="K162" s="136"/>
      <c r="L162" s="137"/>
      <c r="M162" s="137"/>
      <c r="N162" s="136"/>
      <c r="O162" s="6"/>
    </row>
    <row r="163" spans="1:15" s="25" customFormat="1" ht="13.5">
      <c r="A163" s="35" t="s">
        <v>148</v>
      </c>
      <c r="B163" s="36" t="s">
        <v>149</v>
      </c>
      <c r="C163" s="37" t="s">
        <v>76</v>
      </c>
      <c r="D163" s="37" t="s">
        <v>76</v>
      </c>
      <c r="E163" s="37" t="s">
        <v>76</v>
      </c>
      <c r="F163" s="37" t="s">
        <v>76</v>
      </c>
      <c r="G163" s="37" t="s">
        <v>76</v>
      </c>
      <c r="H163" s="133">
        <f>I163+K163+N163</f>
        <v>0</v>
      </c>
      <c r="I163" s="133">
        <v>0</v>
      </c>
      <c r="J163" s="133"/>
      <c r="K163" s="133"/>
      <c r="L163" s="138" t="s">
        <v>76</v>
      </c>
      <c r="M163" s="138" t="s">
        <v>76</v>
      </c>
      <c r="N163" s="133"/>
      <c r="O163" s="6" t="s">
        <v>76</v>
      </c>
    </row>
    <row r="164" spans="1:15" s="25" customFormat="1" ht="13.5">
      <c r="A164" s="20" t="s">
        <v>150</v>
      </c>
      <c r="B164" s="9" t="s">
        <v>151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6" ht="12.75">
      <c r="A166" s="88" t="s">
        <v>271</v>
      </c>
    </row>
    <row r="167" ht="12.75">
      <c r="A167" s="88"/>
    </row>
    <row r="168" ht="19.5" customHeight="1">
      <c r="A168" s="88" t="s">
        <v>17</v>
      </c>
    </row>
    <row r="169" ht="12.75">
      <c r="A169" s="88" t="s">
        <v>272</v>
      </c>
    </row>
    <row r="170" ht="12.75">
      <c r="A170" s="88"/>
    </row>
    <row r="171" ht="13.5" customHeight="1">
      <c r="A171" s="89"/>
    </row>
    <row r="172" ht="13.5" customHeight="1">
      <c r="A172" s="89"/>
    </row>
    <row r="173" ht="12.75" customHeight="1">
      <c r="A173" s="89"/>
    </row>
    <row r="174" ht="12.75" customHeight="1">
      <c r="A174" s="89"/>
    </row>
    <row r="175" ht="12.7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</sheetData>
  <sheetProtection/>
  <mergeCells count="83">
    <mergeCell ref="A140:B140"/>
    <mergeCell ref="A129:B129"/>
    <mergeCell ref="C117:C119"/>
    <mergeCell ref="A126:B126"/>
    <mergeCell ref="A131:B131"/>
    <mergeCell ref="G83:G84"/>
    <mergeCell ref="A104:B104"/>
    <mergeCell ref="A109:B109"/>
    <mergeCell ref="A115:B115"/>
    <mergeCell ref="A83:A84"/>
    <mergeCell ref="F124:F125"/>
    <mergeCell ref="G124:G125"/>
    <mergeCell ref="A96:B96"/>
    <mergeCell ref="A100:B100"/>
    <mergeCell ref="F117:F119"/>
    <mergeCell ref="E124:E125"/>
    <mergeCell ref="G117:G119"/>
    <mergeCell ref="A124:A125"/>
    <mergeCell ref="C124:C125"/>
    <mergeCell ref="C81:C82"/>
    <mergeCell ref="F81:F82"/>
    <mergeCell ref="E81:E82"/>
    <mergeCell ref="E117:E119"/>
    <mergeCell ref="A81:A82"/>
    <mergeCell ref="C83:C84"/>
    <mergeCell ref="E83:E84"/>
    <mergeCell ref="F83:F84"/>
    <mergeCell ref="G76:G77"/>
    <mergeCell ref="F67:F68"/>
    <mergeCell ref="G67:G68"/>
    <mergeCell ref="G81:G82"/>
    <mergeCell ref="F76:F77"/>
    <mergeCell ref="A54:B54"/>
    <mergeCell ref="E67:E68"/>
    <mergeCell ref="E71:E72"/>
    <mergeCell ref="A78:B78"/>
    <mergeCell ref="A67:A68"/>
    <mergeCell ref="C67:C68"/>
    <mergeCell ref="C18:C22"/>
    <mergeCell ref="F18:F22"/>
    <mergeCell ref="A117:A119"/>
    <mergeCell ref="F60:F65"/>
    <mergeCell ref="A60:A65"/>
    <mergeCell ref="C60:C65"/>
    <mergeCell ref="A76:A77"/>
    <mergeCell ref="C76:C77"/>
    <mergeCell ref="E76:E77"/>
    <mergeCell ref="J15:J16"/>
    <mergeCell ref="A16:A17"/>
    <mergeCell ref="C16:C17"/>
    <mergeCell ref="E16:E17"/>
    <mergeCell ref="F16:F17"/>
    <mergeCell ref="G16:G17"/>
    <mergeCell ref="F44:F45"/>
    <mergeCell ref="E11:E13"/>
    <mergeCell ref="A44:A45"/>
    <mergeCell ref="C44:C45"/>
    <mergeCell ref="A39:A41"/>
    <mergeCell ref="C39:C41"/>
    <mergeCell ref="A35:A38"/>
    <mergeCell ref="C35:C38"/>
    <mergeCell ref="F39:F41"/>
    <mergeCell ref="A18:A22"/>
    <mergeCell ref="A29:A34"/>
    <mergeCell ref="I5:O5"/>
    <mergeCell ref="B15:B22"/>
    <mergeCell ref="D4:D6"/>
    <mergeCell ref="E4:E6"/>
    <mergeCell ref="F4:F6"/>
    <mergeCell ref="B10:B14"/>
    <mergeCell ref="C11:C13"/>
    <mergeCell ref="H5:H6"/>
    <mergeCell ref="F30:F34"/>
    <mergeCell ref="F11:F13"/>
    <mergeCell ref="N6:O6"/>
    <mergeCell ref="A1:O1"/>
    <mergeCell ref="B2:M2"/>
    <mergeCell ref="N2:O2"/>
    <mergeCell ref="A4:A6"/>
    <mergeCell ref="B4:B6"/>
    <mergeCell ref="C4:C6"/>
    <mergeCell ref="G4:G6"/>
    <mergeCell ref="H4:O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9"/>
  <sheetViews>
    <sheetView zoomScalePageLayoutView="0" workbookViewId="0" topLeftCell="A134">
      <selection activeCell="H154" sqref="H154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4.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405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23970604.2</v>
      </c>
      <c r="I9" s="124">
        <f>I15</f>
        <v>21708439</v>
      </c>
      <c r="J9" s="124"/>
      <c r="K9" s="124">
        <f>K23</f>
        <v>2162665.2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21708439</v>
      </c>
      <c r="I15" s="78">
        <f>I16+I18+I19+I17+I22</f>
        <v>21708439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447">
        <f t="shared" si="0"/>
        <v>17351100</v>
      </c>
      <c r="I17" s="448">
        <f>16689500+661600</f>
        <v>17351100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2162665.2</v>
      </c>
      <c r="I23" s="102" t="s">
        <v>76</v>
      </c>
      <c r="J23" s="100"/>
      <c r="K23" s="100">
        <f>SUM(K24:K47)</f>
        <v>2162665.2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6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 hidden="1">
      <c r="A30" s="700"/>
      <c r="B30" s="62"/>
      <c r="C30" s="63" t="s">
        <v>50</v>
      </c>
      <c r="D30" s="393" t="s">
        <v>332</v>
      </c>
      <c r="E30" s="20"/>
      <c r="F30" s="695" t="s">
        <v>284</v>
      </c>
      <c r="G30" s="9"/>
      <c r="H30" s="25"/>
      <c r="I30" s="107" t="s">
        <v>76</v>
      </c>
      <c r="J30" s="108"/>
      <c r="K30" s="109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393" t="s">
        <v>214</v>
      </c>
      <c r="E31" s="9"/>
      <c r="F31" s="695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333</v>
      </c>
      <c r="E32" s="9"/>
      <c r="F32" s="695"/>
      <c r="G32" s="9"/>
      <c r="H32" s="126">
        <f aca="true" t="shared" si="1" ref="H32:H47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216</v>
      </c>
      <c r="E33" s="9"/>
      <c r="F33" s="695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5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>
      <c r="A35" s="741" t="s">
        <v>372</v>
      </c>
      <c r="B35" s="60"/>
      <c r="C35" s="693" t="s">
        <v>373</v>
      </c>
      <c r="D35" s="434" t="s">
        <v>332</v>
      </c>
      <c r="E35" s="9"/>
      <c r="F35" s="6" t="s">
        <v>284</v>
      </c>
      <c r="G35" s="9"/>
      <c r="H35" s="126">
        <f t="shared" si="1"/>
        <v>43200</v>
      </c>
      <c r="I35" s="107"/>
      <c r="J35" s="78"/>
      <c r="K35" s="78">
        <v>43200</v>
      </c>
      <c r="L35" s="26"/>
      <c r="M35" s="26"/>
      <c r="N35" s="107"/>
      <c r="O35" s="7"/>
    </row>
    <row r="36" spans="1:15" ht="12.75" customHeight="1">
      <c r="A36" s="742"/>
      <c r="B36" s="60"/>
      <c r="C36" s="697"/>
      <c r="D36" s="434" t="s">
        <v>214</v>
      </c>
      <c r="E36" s="9"/>
      <c r="F36" s="6" t="s">
        <v>284</v>
      </c>
      <c r="G36" s="9"/>
      <c r="H36" s="126">
        <f t="shared" si="1"/>
        <v>4800</v>
      </c>
      <c r="I36" s="107"/>
      <c r="J36" s="78"/>
      <c r="K36" s="78">
        <v>4800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333</v>
      </c>
      <c r="E37" s="9"/>
      <c r="F37" s="6" t="s">
        <v>284</v>
      </c>
      <c r="G37" s="9"/>
      <c r="H37" s="126">
        <f t="shared" si="1"/>
        <v>10800</v>
      </c>
      <c r="I37" s="107"/>
      <c r="J37" s="78"/>
      <c r="K37" s="78">
        <v>10800</v>
      </c>
      <c r="L37" s="26"/>
      <c r="M37" s="26"/>
      <c r="N37" s="107"/>
      <c r="O37" s="7"/>
    </row>
    <row r="38" spans="1:15" ht="12.75" customHeight="1">
      <c r="A38" s="743"/>
      <c r="B38" s="60"/>
      <c r="C38" s="694"/>
      <c r="D38" s="434" t="s">
        <v>216</v>
      </c>
      <c r="E38" s="9"/>
      <c r="F38" s="6" t="s">
        <v>284</v>
      </c>
      <c r="G38" s="9"/>
      <c r="H38" s="126">
        <f t="shared" si="1"/>
        <v>1200</v>
      </c>
      <c r="I38" s="107"/>
      <c r="J38" s="78"/>
      <c r="K38" s="78">
        <v>1200</v>
      </c>
      <c r="L38" s="26"/>
      <c r="M38" s="26"/>
      <c r="N38" s="107"/>
      <c r="O38" s="7"/>
    </row>
    <row r="39" spans="1:15" ht="12.75">
      <c r="A39" s="711" t="s">
        <v>155</v>
      </c>
      <c r="B39" s="62"/>
      <c r="C39" s="698" t="s">
        <v>51</v>
      </c>
      <c r="D39" s="6" t="s">
        <v>81</v>
      </c>
      <c r="E39" s="9"/>
      <c r="F39" s="693" t="s">
        <v>284</v>
      </c>
      <c r="G39" s="9"/>
      <c r="H39" s="126">
        <f t="shared" si="1"/>
        <v>198138.2</v>
      </c>
      <c r="I39" s="107" t="s">
        <v>76</v>
      </c>
      <c r="J39" s="78"/>
      <c r="K39" s="78">
        <f>195152.7+2985.5</f>
        <v>198138.2</v>
      </c>
      <c r="L39" s="26"/>
      <c r="M39" s="26"/>
      <c r="N39" s="107" t="s">
        <v>76</v>
      </c>
      <c r="O39" s="7"/>
    </row>
    <row r="40" spans="1:21" ht="12.75">
      <c r="A40" s="711"/>
      <c r="B40" s="62"/>
      <c r="C40" s="698"/>
      <c r="D40" s="6" t="s">
        <v>166</v>
      </c>
      <c r="E40" s="9"/>
      <c r="F40" s="697"/>
      <c r="G40" s="9"/>
      <c r="H40" s="126">
        <f t="shared" si="1"/>
        <v>168468.3</v>
      </c>
      <c r="I40" s="107" t="s">
        <v>76</v>
      </c>
      <c r="J40" s="78"/>
      <c r="K40" s="78">
        <f>148024.8+20443.5</f>
        <v>168468.3</v>
      </c>
      <c r="L40" s="26"/>
      <c r="M40" s="26"/>
      <c r="N40" s="107" t="s">
        <v>76</v>
      </c>
      <c r="O40" s="7"/>
      <c r="U40" s="392"/>
    </row>
    <row r="41" spans="1:15" ht="12.75">
      <c r="A41" s="711"/>
      <c r="B41" s="62"/>
      <c r="C41" s="698"/>
      <c r="D41" s="9" t="s">
        <v>196</v>
      </c>
      <c r="E41" s="9"/>
      <c r="F41" s="694"/>
      <c r="G41" s="9"/>
      <c r="H41" s="126">
        <f t="shared" si="1"/>
        <v>18718.7</v>
      </c>
      <c r="I41" s="107" t="s">
        <v>76</v>
      </c>
      <c r="J41" s="78"/>
      <c r="K41" s="78">
        <f>16447.2+2271.5</f>
        <v>18718.7</v>
      </c>
      <c r="L41" s="26"/>
      <c r="M41" s="26"/>
      <c r="N41" s="107" t="s">
        <v>76</v>
      </c>
      <c r="O41" s="7"/>
    </row>
    <row r="42" spans="1:15" ht="63.75">
      <c r="A42" s="65" t="s">
        <v>43</v>
      </c>
      <c r="B42" s="66"/>
      <c r="C42" s="368" t="s">
        <v>42</v>
      </c>
      <c r="D42" s="6" t="s">
        <v>162</v>
      </c>
      <c r="E42" s="9"/>
      <c r="F42" s="6" t="s">
        <v>284</v>
      </c>
      <c r="G42" s="9"/>
      <c r="H42" s="126">
        <f t="shared" si="1"/>
        <v>950000</v>
      </c>
      <c r="I42" s="107" t="s">
        <v>76</v>
      </c>
      <c r="J42" s="78"/>
      <c r="K42" s="78">
        <v>950000</v>
      </c>
      <c r="L42" s="26"/>
      <c r="M42" s="26"/>
      <c r="N42" s="107" t="s">
        <v>76</v>
      </c>
      <c r="O42" s="7"/>
    </row>
    <row r="43" spans="1:15" ht="25.5">
      <c r="A43" s="65" t="s">
        <v>225</v>
      </c>
      <c r="B43" s="66"/>
      <c r="C43" s="59" t="s">
        <v>203</v>
      </c>
      <c r="D43" s="59" t="s">
        <v>81</v>
      </c>
      <c r="E43" s="59"/>
      <c r="F43" s="6" t="s">
        <v>284</v>
      </c>
      <c r="G43" s="9"/>
      <c r="H43" s="126">
        <f t="shared" si="1"/>
        <v>10000</v>
      </c>
      <c r="I43" s="107" t="s">
        <v>76</v>
      </c>
      <c r="J43" s="78"/>
      <c r="K43" s="78">
        <v>10000</v>
      </c>
      <c r="L43" s="26"/>
      <c r="M43" s="26"/>
      <c r="N43" s="107" t="s">
        <v>76</v>
      </c>
      <c r="O43" s="7"/>
    </row>
    <row r="44" spans="1:15" ht="21" customHeight="1" hidden="1">
      <c r="A44" s="689" t="s">
        <v>199</v>
      </c>
      <c r="B44" s="66"/>
      <c r="C44" s="690" t="s">
        <v>192</v>
      </c>
      <c r="D44" s="59" t="s">
        <v>193</v>
      </c>
      <c r="E44" s="59"/>
      <c r="F44" s="693" t="s">
        <v>209</v>
      </c>
      <c r="G44" s="9"/>
      <c r="H44" s="126">
        <f t="shared" si="1"/>
        <v>0</v>
      </c>
      <c r="I44" s="107" t="s">
        <v>76</v>
      </c>
      <c r="J44" s="78"/>
      <c r="K44" s="78"/>
      <c r="L44" s="26"/>
      <c r="M44" s="26"/>
      <c r="N44" s="107" t="s">
        <v>76</v>
      </c>
      <c r="O44" s="7"/>
    </row>
    <row r="45" spans="1:15" ht="18" customHeight="1" hidden="1">
      <c r="A45" s="689"/>
      <c r="B45" s="66"/>
      <c r="C45" s="690"/>
      <c r="D45" s="59" t="s">
        <v>196</v>
      </c>
      <c r="E45" s="59"/>
      <c r="F45" s="694"/>
      <c r="G45" s="9"/>
      <c r="H45" s="126">
        <f t="shared" si="1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38.25" hidden="1">
      <c r="A46" s="22" t="s">
        <v>49</v>
      </c>
      <c r="B46" s="6"/>
      <c r="C46" s="6" t="s">
        <v>23</v>
      </c>
      <c r="D46" s="6" t="s">
        <v>228</v>
      </c>
      <c r="E46" s="6"/>
      <c r="F46" s="6" t="s">
        <v>209</v>
      </c>
      <c r="G46" s="6"/>
      <c r="H46" s="129">
        <f t="shared" si="1"/>
        <v>0</v>
      </c>
      <c r="I46" s="26"/>
      <c r="J46" s="26"/>
      <c r="K46" s="78"/>
      <c r="L46" s="26"/>
      <c r="M46" s="26"/>
      <c r="N46" s="26"/>
      <c r="O46" s="7"/>
    </row>
    <row r="47" spans="1:15" ht="22.5" customHeight="1" hidden="1">
      <c r="A47" s="8" t="s">
        <v>229</v>
      </c>
      <c r="B47" s="6"/>
      <c r="C47" s="22" t="s">
        <v>230</v>
      </c>
      <c r="D47" s="6" t="s">
        <v>81</v>
      </c>
      <c r="E47" s="9"/>
      <c r="F47" s="15" t="s">
        <v>209</v>
      </c>
      <c r="G47" s="9"/>
      <c r="H47" s="126">
        <f t="shared" si="1"/>
        <v>0</v>
      </c>
      <c r="I47" s="107"/>
      <c r="J47" s="78"/>
      <c r="K47" s="26"/>
      <c r="L47" s="26"/>
      <c r="M47" s="26"/>
      <c r="N47" s="26"/>
      <c r="O47" s="7"/>
    </row>
    <row r="48" spans="1:21" s="25" customFormat="1" ht="17.25" customHeight="1">
      <c r="A48" s="23" t="s">
        <v>94</v>
      </c>
      <c r="B48" s="24" t="s">
        <v>95</v>
      </c>
      <c r="C48" s="56" t="s">
        <v>76</v>
      </c>
      <c r="D48" s="56" t="s">
        <v>76</v>
      </c>
      <c r="E48" s="56" t="s">
        <v>76</v>
      </c>
      <c r="F48" s="56" t="s">
        <v>76</v>
      </c>
      <c r="G48" s="56" t="s">
        <v>76</v>
      </c>
      <c r="H48" s="130">
        <f>I48+N48+K48</f>
        <v>23970604.2</v>
      </c>
      <c r="I48" s="130">
        <f>I54+I78+I96</f>
        <v>21708439</v>
      </c>
      <c r="J48" s="130"/>
      <c r="K48" s="130">
        <f>K96+K100+K102+K115+K126+K129+K131+K109+K134+K136+K138+K104</f>
        <v>2162665.2</v>
      </c>
      <c r="L48" s="130"/>
      <c r="M48" s="130"/>
      <c r="N48" s="130">
        <f>N140</f>
        <v>99500.00000000001</v>
      </c>
      <c r="O48" s="95"/>
      <c r="U48" s="380"/>
    </row>
    <row r="49" spans="1:15" s="25" customFormat="1" ht="18" customHeight="1">
      <c r="A49" s="8" t="s">
        <v>96</v>
      </c>
      <c r="B49" s="9" t="s">
        <v>97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f>I49+N49</f>
        <v>16594000</v>
      </c>
      <c r="I49" s="78">
        <f>I50+I52</f>
        <v>16594000</v>
      </c>
      <c r="J49" s="78"/>
      <c r="K49" s="78"/>
      <c r="L49" s="78"/>
      <c r="M49" s="78"/>
      <c r="N49" s="78"/>
      <c r="O49" s="7" t="s">
        <v>76</v>
      </c>
    </row>
    <row r="50" spans="1:15" s="25" customFormat="1" ht="25.5">
      <c r="A50" s="22" t="s">
        <v>98</v>
      </c>
      <c r="B50" s="9" t="s">
        <v>99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16594000</v>
      </c>
      <c r="I50" s="78">
        <f>I55+I56+I58+I59</f>
        <v>16594000</v>
      </c>
      <c r="J50" s="78"/>
      <c r="K50" s="78"/>
      <c r="L50" s="78"/>
      <c r="M50" s="78"/>
      <c r="N50" s="78"/>
      <c r="O50" s="7" t="s">
        <v>76</v>
      </c>
    </row>
    <row r="51" spans="1:15" s="25" customFormat="1" ht="9.75" customHeight="1" hidden="1">
      <c r="A51" s="8" t="s">
        <v>100</v>
      </c>
      <c r="B51" s="9" t="s">
        <v>101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/>
      <c r="I51" s="78"/>
      <c r="J51" s="78"/>
      <c r="K51" s="78"/>
      <c r="L51" s="78"/>
      <c r="M51" s="78"/>
      <c r="N51" s="78"/>
      <c r="O51" s="7" t="s">
        <v>76</v>
      </c>
    </row>
    <row r="52" spans="1:15" s="25" customFormat="1" ht="25.5" hidden="1">
      <c r="A52" s="8" t="s">
        <v>102</v>
      </c>
      <c r="B52" s="9" t="s">
        <v>103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0</v>
      </c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13.5" customHeight="1" hidden="1">
      <c r="A53" s="8" t="s">
        <v>104</v>
      </c>
      <c r="B53" s="9" t="s">
        <v>105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v>0</v>
      </c>
      <c r="I53" s="78">
        <v>0</v>
      </c>
      <c r="J53" s="78"/>
      <c r="K53" s="78"/>
      <c r="L53" s="78"/>
      <c r="M53" s="78"/>
      <c r="N53" s="78"/>
      <c r="O53" s="21"/>
    </row>
    <row r="54" spans="1:15" s="25" customFormat="1" ht="29.25" customHeight="1">
      <c r="A54" s="681" t="s">
        <v>106</v>
      </c>
      <c r="B54" s="683"/>
      <c r="C54" s="27" t="s">
        <v>18</v>
      </c>
      <c r="D54" s="3"/>
      <c r="E54" s="27"/>
      <c r="F54" s="3"/>
      <c r="G54" s="3"/>
      <c r="H54" s="124">
        <f>SUM(H55:H77)</f>
        <v>17759400</v>
      </c>
      <c r="I54" s="97">
        <f>SUM(I55:I77)</f>
        <v>17759400</v>
      </c>
      <c r="J54" s="110"/>
      <c r="K54" s="111" t="s">
        <v>107</v>
      </c>
      <c r="L54" s="111"/>
      <c r="M54" s="111"/>
      <c r="N54" s="111" t="s">
        <v>107</v>
      </c>
      <c r="O54" s="28"/>
    </row>
    <row r="55" spans="1:15" s="25" customFormat="1" ht="12.75">
      <c r="A55" s="22" t="s">
        <v>4</v>
      </c>
      <c r="B55" s="9"/>
      <c r="C55" s="6" t="s">
        <v>18</v>
      </c>
      <c r="D55" s="14">
        <v>14130030000000000</v>
      </c>
      <c r="E55" s="6" t="s">
        <v>108</v>
      </c>
      <c r="F55" s="6" t="s">
        <v>99</v>
      </c>
      <c r="G55" s="6" t="s">
        <v>109</v>
      </c>
      <c r="H55" s="126">
        <f>I55</f>
        <v>12739000</v>
      </c>
      <c r="I55" s="112">
        <v>12739000</v>
      </c>
      <c r="J55" s="78"/>
      <c r="K55" s="107" t="s">
        <v>76</v>
      </c>
      <c r="L55" s="107" t="s">
        <v>76</v>
      </c>
      <c r="M55" s="107" t="s">
        <v>76</v>
      </c>
      <c r="N55" s="107" t="s">
        <v>76</v>
      </c>
      <c r="O55" s="6" t="s">
        <v>76</v>
      </c>
    </row>
    <row r="56" spans="1:15" s="25" customFormat="1" ht="15.75" customHeight="1" hidden="1">
      <c r="A56" s="22" t="s">
        <v>5</v>
      </c>
      <c r="B56" s="9"/>
      <c r="C56" s="6" t="s">
        <v>18</v>
      </c>
      <c r="D56" s="9" t="s">
        <v>81</v>
      </c>
      <c r="E56" s="6" t="s">
        <v>108</v>
      </c>
      <c r="F56" s="6" t="s">
        <v>110</v>
      </c>
      <c r="G56" s="6" t="s">
        <v>111</v>
      </c>
      <c r="H56" s="126">
        <f>I56</f>
        <v>0</v>
      </c>
      <c r="I56" s="78"/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/>
    </row>
    <row r="57" spans="1:15" s="25" customFormat="1" ht="12.75" hidden="1">
      <c r="A57" s="22" t="s">
        <v>5</v>
      </c>
      <c r="B57" s="9"/>
      <c r="C57" s="9"/>
      <c r="D57" s="15"/>
      <c r="E57" s="9"/>
      <c r="F57" s="9" t="s">
        <v>110</v>
      </c>
      <c r="G57" s="9" t="s">
        <v>111</v>
      </c>
      <c r="H57" s="126">
        <f aca="true" t="shared" si="2" ref="H57:H77"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2.75">
      <c r="A58" s="81" t="s">
        <v>6</v>
      </c>
      <c r="B58" s="9"/>
      <c r="C58" s="6" t="s">
        <v>18</v>
      </c>
      <c r="D58" s="14">
        <v>14130030000000000</v>
      </c>
      <c r="E58" s="6" t="s">
        <v>108</v>
      </c>
      <c r="F58" s="6" t="s">
        <v>112</v>
      </c>
      <c r="G58" s="6" t="s">
        <v>113</v>
      </c>
      <c r="H58" s="126">
        <f t="shared" si="2"/>
        <v>3855000</v>
      </c>
      <c r="I58" s="78">
        <v>3855000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 hidden="1">
      <c r="A59" s="86"/>
      <c r="B59" s="12"/>
      <c r="C59" s="60"/>
      <c r="D59" s="30">
        <v>14130030000000000</v>
      </c>
      <c r="E59" s="29"/>
      <c r="F59" s="31"/>
      <c r="G59" s="31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/>
    </row>
    <row r="60" spans="1:15" s="25" customFormat="1" ht="13.5" customHeight="1">
      <c r="A60" s="744" t="s">
        <v>7</v>
      </c>
      <c r="B60" s="9"/>
      <c r="C60" s="693" t="s">
        <v>18</v>
      </c>
      <c r="D60" s="9" t="s">
        <v>81</v>
      </c>
      <c r="E60" s="9" t="s">
        <v>108</v>
      </c>
      <c r="F60" s="693" t="s">
        <v>114</v>
      </c>
      <c r="G60" s="9" t="s">
        <v>115</v>
      </c>
      <c r="H60" s="126">
        <f t="shared" si="2"/>
        <v>32600</v>
      </c>
      <c r="I60" s="113">
        <v>32600</v>
      </c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 hidden="1">
      <c r="A61" s="745"/>
      <c r="B61" s="9"/>
      <c r="C61" s="697"/>
      <c r="D61" s="15"/>
      <c r="E61" s="9"/>
      <c r="F61" s="697"/>
      <c r="G61" s="9" t="s">
        <v>115</v>
      </c>
      <c r="H61" s="126">
        <f t="shared" si="2"/>
        <v>0</v>
      </c>
      <c r="I61" s="78"/>
      <c r="J61" s="100"/>
      <c r="K61" s="101" t="s">
        <v>76</v>
      </c>
      <c r="L61" s="101" t="s">
        <v>76</v>
      </c>
      <c r="M61" s="101" t="s">
        <v>76</v>
      </c>
      <c r="N61" s="101" t="s">
        <v>76</v>
      </c>
      <c r="O61" s="6" t="s">
        <v>76</v>
      </c>
    </row>
    <row r="62" spans="1:15" s="25" customFormat="1" ht="12.75" customHeight="1" hidden="1">
      <c r="A62" s="745"/>
      <c r="B62" s="9"/>
      <c r="C62" s="697"/>
      <c r="D62" s="15"/>
      <c r="E62" s="9"/>
      <c r="F62" s="697"/>
      <c r="G62" s="9"/>
      <c r="H62" s="126">
        <f t="shared" si="2"/>
        <v>0</v>
      </c>
      <c r="I62" s="78"/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customHeight="1" hidden="1">
      <c r="A63" s="745"/>
      <c r="B63" s="9"/>
      <c r="C63" s="697"/>
      <c r="D63" s="15"/>
      <c r="E63" s="9"/>
      <c r="F63" s="697"/>
      <c r="G63" s="9"/>
      <c r="H63" s="126">
        <f t="shared" si="2"/>
        <v>0</v>
      </c>
      <c r="I63" s="78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customHeight="1" hidden="1">
      <c r="A64" s="745"/>
      <c r="B64" s="9"/>
      <c r="C64" s="697"/>
      <c r="D64" s="15"/>
      <c r="E64" s="9"/>
      <c r="F64" s="697"/>
      <c r="G64" s="9"/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12.75" customHeight="1">
      <c r="A65" s="746"/>
      <c r="B65" s="9"/>
      <c r="C65" s="694"/>
      <c r="D65" s="451">
        <v>14130030000000000</v>
      </c>
      <c r="E65" s="9" t="s">
        <v>108</v>
      </c>
      <c r="F65" s="694"/>
      <c r="G65" s="449" t="s">
        <v>115</v>
      </c>
      <c r="H65" s="447">
        <f t="shared" si="2"/>
        <v>50155</v>
      </c>
      <c r="I65" s="450">
        <f>30000+20155</f>
        <v>50155</v>
      </c>
      <c r="J65" s="100"/>
      <c r="K65" s="101" t="s">
        <v>76</v>
      </c>
      <c r="L65" s="101"/>
      <c r="M65" s="101"/>
      <c r="N65" s="101" t="s">
        <v>76</v>
      </c>
      <c r="O65" s="6"/>
    </row>
    <row r="66" spans="1:15" s="25" customFormat="1" ht="12.75" customHeight="1">
      <c r="A66" s="16" t="s">
        <v>8</v>
      </c>
      <c r="B66" s="9"/>
      <c r="C66" s="6" t="s">
        <v>18</v>
      </c>
      <c r="D66" s="9" t="s">
        <v>81</v>
      </c>
      <c r="E66" s="10" t="s">
        <v>108</v>
      </c>
      <c r="F66" s="11" t="s">
        <v>128</v>
      </c>
      <c r="G66" s="10" t="s">
        <v>115</v>
      </c>
      <c r="H66" s="126">
        <f t="shared" si="2"/>
        <v>102000</v>
      </c>
      <c r="I66" s="113">
        <v>102000</v>
      </c>
      <c r="J66" s="100"/>
      <c r="K66" s="101" t="s">
        <v>76</v>
      </c>
      <c r="L66" s="101"/>
      <c r="M66" s="101"/>
      <c r="N66" s="101" t="s">
        <v>76</v>
      </c>
      <c r="O66" s="6"/>
    </row>
    <row r="67" spans="1:15" s="25" customFormat="1" ht="12.75">
      <c r="A67" s="684" t="s">
        <v>12</v>
      </c>
      <c r="B67" s="9"/>
      <c r="C67" s="693" t="s">
        <v>18</v>
      </c>
      <c r="D67" s="9" t="s">
        <v>81</v>
      </c>
      <c r="E67" s="693" t="s">
        <v>108</v>
      </c>
      <c r="F67" s="693" t="s">
        <v>116</v>
      </c>
      <c r="G67" s="693" t="s">
        <v>115</v>
      </c>
      <c r="H67" s="126">
        <f t="shared" si="2"/>
        <v>272300</v>
      </c>
      <c r="I67" s="113">
        <f>216300+56000</f>
        <v>272300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12.75" hidden="1">
      <c r="A68" s="686"/>
      <c r="B68" s="9"/>
      <c r="C68" s="694"/>
      <c r="D68" s="14">
        <v>14130030000000000</v>
      </c>
      <c r="E68" s="694"/>
      <c r="F68" s="694"/>
      <c r="G68" s="694"/>
      <c r="H68" s="126">
        <f t="shared" si="2"/>
        <v>0</v>
      </c>
      <c r="I68" s="79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12.75" hidden="1">
      <c r="A69" s="22" t="s">
        <v>13</v>
      </c>
      <c r="B69" s="9"/>
      <c r="C69" s="9"/>
      <c r="D69" s="15"/>
      <c r="E69" s="9"/>
      <c r="F69" s="9" t="s">
        <v>117</v>
      </c>
      <c r="G69" s="9" t="s">
        <v>115</v>
      </c>
      <c r="H69" s="126">
        <f t="shared" si="2"/>
        <v>0</v>
      </c>
      <c r="I69" s="78"/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 t="s">
        <v>76</v>
      </c>
    </row>
    <row r="70" spans="1:15" s="25" customFormat="1" ht="25.5">
      <c r="A70" s="22" t="s">
        <v>245</v>
      </c>
      <c r="B70" s="9"/>
      <c r="C70" s="9" t="s">
        <v>18</v>
      </c>
      <c r="D70" s="14">
        <v>14130010000000000</v>
      </c>
      <c r="E70" s="9" t="s">
        <v>108</v>
      </c>
      <c r="F70" s="9" t="s">
        <v>246</v>
      </c>
      <c r="G70" s="10" t="s">
        <v>109</v>
      </c>
      <c r="H70" s="126">
        <f>I70</f>
        <v>25500</v>
      </c>
      <c r="I70" s="78">
        <v>25500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12.75">
      <c r="A71" s="453" t="s">
        <v>14</v>
      </c>
      <c r="B71" s="449"/>
      <c r="C71" s="449" t="s">
        <v>18</v>
      </c>
      <c r="D71" s="451">
        <v>14130030000000000</v>
      </c>
      <c r="E71" s="695" t="s">
        <v>108</v>
      </c>
      <c r="F71" s="449" t="s">
        <v>118</v>
      </c>
      <c r="G71" s="449" t="s">
        <v>115</v>
      </c>
      <c r="H71" s="447">
        <f t="shared" si="2"/>
        <v>641445</v>
      </c>
      <c r="I71" s="452">
        <v>641445</v>
      </c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 t="s">
        <v>76</v>
      </c>
    </row>
    <row r="72" spans="1:15" s="25" customFormat="1" ht="51" hidden="1">
      <c r="A72" s="82" t="s">
        <v>237</v>
      </c>
      <c r="B72" s="9"/>
      <c r="C72" s="83" t="s">
        <v>18</v>
      </c>
      <c r="D72" s="9" t="s">
        <v>81</v>
      </c>
      <c r="E72" s="695"/>
      <c r="F72" s="84" t="s">
        <v>238</v>
      </c>
      <c r="G72" s="84" t="s">
        <v>115</v>
      </c>
      <c r="H72" s="126">
        <f t="shared" si="2"/>
        <v>0</v>
      </c>
      <c r="I72" s="113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38.25">
      <c r="A73" s="82" t="s">
        <v>239</v>
      </c>
      <c r="B73" s="9"/>
      <c r="C73" s="83" t="s">
        <v>18</v>
      </c>
      <c r="D73" s="9" t="s">
        <v>81</v>
      </c>
      <c r="E73" s="83" t="s">
        <v>108</v>
      </c>
      <c r="F73" s="84" t="s">
        <v>240</v>
      </c>
      <c r="G73" s="84" t="s">
        <v>115</v>
      </c>
      <c r="H73" s="126">
        <f t="shared" si="2"/>
        <v>1400</v>
      </c>
      <c r="I73" s="106">
        <v>1400</v>
      </c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/>
    </row>
    <row r="74" spans="1:15" s="25" customFormat="1" ht="25.5">
      <c r="A74" s="22" t="s">
        <v>241</v>
      </c>
      <c r="B74" s="9"/>
      <c r="C74" s="9" t="s">
        <v>18</v>
      </c>
      <c r="D74" s="14">
        <v>14130030000000000</v>
      </c>
      <c r="E74" s="10" t="s">
        <v>108</v>
      </c>
      <c r="F74" s="9" t="s">
        <v>242</v>
      </c>
      <c r="G74" s="9" t="s">
        <v>115</v>
      </c>
      <c r="H74" s="126">
        <f t="shared" si="2"/>
        <v>40000</v>
      </c>
      <c r="I74" s="376">
        <f>20000+20000</f>
        <v>40000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25.5">
      <c r="A75" s="394" t="s">
        <v>243</v>
      </c>
      <c r="B75" s="6"/>
      <c r="C75" s="6" t="s">
        <v>18</v>
      </c>
      <c r="D75" s="395">
        <v>14130030000000000</v>
      </c>
      <c r="E75" s="6" t="s">
        <v>108</v>
      </c>
      <c r="F75" s="6" t="s">
        <v>244</v>
      </c>
      <c r="G75" s="6" t="s">
        <v>115</v>
      </c>
      <c r="H75" s="126">
        <f t="shared" si="2"/>
        <v>0</v>
      </c>
      <c r="I75" s="376">
        <f>20000-20000</f>
        <v>0</v>
      </c>
      <c r="J75" s="107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12.75" hidden="1">
      <c r="A76" s="691" t="s">
        <v>188</v>
      </c>
      <c r="B76" s="9"/>
      <c r="C76" s="693" t="s">
        <v>18</v>
      </c>
      <c r="D76" s="9" t="s">
        <v>81</v>
      </c>
      <c r="E76" s="693" t="s">
        <v>108</v>
      </c>
      <c r="F76" s="693" t="s">
        <v>119</v>
      </c>
      <c r="G76" s="693" t="s">
        <v>115</v>
      </c>
      <c r="H76" s="126">
        <f t="shared" si="2"/>
        <v>0</v>
      </c>
      <c r="I76" s="78"/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12.75" hidden="1">
      <c r="A77" s="692"/>
      <c r="B77" s="9"/>
      <c r="C77" s="694"/>
      <c r="D77" s="14">
        <v>14130030000000000</v>
      </c>
      <c r="E77" s="694"/>
      <c r="F77" s="694"/>
      <c r="G77" s="694"/>
      <c r="H77" s="126">
        <f t="shared" si="2"/>
        <v>0</v>
      </c>
      <c r="I77" s="79"/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 t="s">
        <v>76</v>
      </c>
    </row>
    <row r="78" spans="1:15" s="25" customFormat="1" ht="27.75" customHeight="1">
      <c r="A78" s="681" t="s">
        <v>189</v>
      </c>
      <c r="B78" s="683"/>
      <c r="C78" s="27" t="s">
        <v>20</v>
      </c>
      <c r="D78" s="3"/>
      <c r="E78" s="27"/>
      <c r="F78" s="3"/>
      <c r="G78" s="3"/>
      <c r="H78" s="124">
        <f>I78</f>
        <v>3949039</v>
      </c>
      <c r="I78" s="97">
        <f>SUM(I79:I95)</f>
        <v>3949039</v>
      </c>
      <c r="J78" s="110"/>
      <c r="K78" s="111" t="s">
        <v>107</v>
      </c>
      <c r="L78" s="111"/>
      <c r="M78" s="111"/>
      <c r="N78" s="111" t="s">
        <v>107</v>
      </c>
      <c r="O78" s="28"/>
    </row>
    <row r="79" spans="1:15" s="25" customFormat="1" ht="15" customHeight="1">
      <c r="A79" s="22" t="s">
        <v>9</v>
      </c>
      <c r="B79" s="9"/>
      <c r="C79" s="9" t="s">
        <v>20</v>
      </c>
      <c r="D79" s="9" t="s">
        <v>81</v>
      </c>
      <c r="E79" s="9" t="s">
        <v>108</v>
      </c>
      <c r="F79" s="9" t="s">
        <v>120</v>
      </c>
      <c r="G79" s="9" t="s">
        <v>115</v>
      </c>
      <c r="H79" s="126">
        <f>I79</f>
        <v>934139</v>
      </c>
      <c r="I79" s="78">
        <f>1083500-149361</f>
        <v>934139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5" customHeight="1">
      <c r="A80" s="82" t="s">
        <v>8</v>
      </c>
      <c r="B80" s="9"/>
      <c r="C80" s="9" t="s">
        <v>20</v>
      </c>
      <c r="D80" s="9" t="s">
        <v>81</v>
      </c>
      <c r="E80" s="10" t="s">
        <v>108</v>
      </c>
      <c r="F80" s="10" t="s">
        <v>128</v>
      </c>
      <c r="G80" s="10" t="s">
        <v>115</v>
      </c>
      <c r="H80" s="126">
        <f>I80</f>
        <v>17547.48</v>
      </c>
      <c r="I80" s="78">
        <v>17547.48</v>
      </c>
      <c r="J80" s="78"/>
      <c r="K80" s="107"/>
      <c r="L80" s="107"/>
      <c r="M80" s="107"/>
      <c r="N80" s="107"/>
      <c r="O80" s="6"/>
    </row>
    <row r="81" spans="1:15" s="25" customFormat="1" ht="15" customHeight="1">
      <c r="A81" s="691" t="s">
        <v>11</v>
      </c>
      <c r="B81" s="9"/>
      <c r="C81" s="693" t="s">
        <v>20</v>
      </c>
      <c r="D81" s="9" t="s">
        <v>81</v>
      </c>
      <c r="E81" s="693" t="s">
        <v>108</v>
      </c>
      <c r="F81" s="693" t="s">
        <v>121</v>
      </c>
      <c r="G81" s="693" t="s">
        <v>115</v>
      </c>
      <c r="H81" s="126">
        <f aca="true" t="shared" si="3" ref="H81:H95">I81</f>
        <v>231900</v>
      </c>
      <c r="I81" s="112">
        <f>246900-15000</f>
        <v>231900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692"/>
      <c r="B82" s="9"/>
      <c r="C82" s="694"/>
      <c r="D82" s="14">
        <v>14130030000000000</v>
      </c>
      <c r="E82" s="694"/>
      <c r="F82" s="694"/>
      <c r="G82" s="694"/>
      <c r="H82" s="126">
        <f t="shared" si="3"/>
        <v>2020000</v>
      </c>
      <c r="I82" s="112">
        <v>2020000</v>
      </c>
      <c r="J82" s="362"/>
      <c r="K82" s="107" t="s">
        <v>76</v>
      </c>
      <c r="L82" s="107"/>
      <c r="M82" s="107"/>
      <c r="N82" s="107" t="s">
        <v>76</v>
      </c>
      <c r="O82" s="6"/>
    </row>
    <row r="83" spans="1:15" s="25" customFormat="1" ht="12.75">
      <c r="A83" s="691" t="s">
        <v>12</v>
      </c>
      <c r="B83" s="9"/>
      <c r="C83" s="693" t="s">
        <v>20</v>
      </c>
      <c r="D83" s="9" t="s">
        <v>81</v>
      </c>
      <c r="E83" s="693" t="s">
        <v>108</v>
      </c>
      <c r="F83" s="693" t="s">
        <v>116</v>
      </c>
      <c r="G83" s="693" t="s">
        <v>115</v>
      </c>
      <c r="H83" s="126">
        <f t="shared" si="3"/>
        <v>82352.52</v>
      </c>
      <c r="I83" s="78">
        <f>99900-17547.48</f>
        <v>82352.52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534800</v>
      </c>
      <c r="I84" s="115">
        <v>534800</v>
      </c>
      <c r="J84" s="78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22" t="s">
        <v>249</v>
      </c>
      <c r="B85" s="9"/>
      <c r="C85" s="9" t="s">
        <v>20</v>
      </c>
      <c r="D85" s="9" t="s">
        <v>81</v>
      </c>
      <c r="E85" s="9" t="s">
        <v>108</v>
      </c>
      <c r="F85" s="9" t="s">
        <v>206</v>
      </c>
      <c r="G85" s="9" t="s">
        <v>122</v>
      </c>
      <c r="H85" s="126">
        <f t="shared" si="3"/>
        <v>55400</v>
      </c>
      <c r="I85" s="78">
        <v>55400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22" t="s">
        <v>249</v>
      </c>
      <c r="B86" s="9"/>
      <c r="C86" s="9" t="s">
        <v>20</v>
      </c>
      <c r="D86" s="9" t="s">
        <v>81</v>
      </c>
      <c r="E86" s="9" t="s">
        <v>108</v>
      </c>
      <c r="F86" s="9" t="s">
        <v>206</v>
      </c>
      <c r="G86" s="9" t="s">
        <v>250</v>
      </c>
      <c r="H86" s="126">
        <f t="shared" si="3"/>
        <v>4800</v>
      </c>
      <c r="I86" s="79">
        <v>4800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 hidden="1">
      <c r="A87" s="22" t="s">
        <v>14</v>
      </c>
      <c r="B87" s="9"/>
      <c r="C87" s="9" t="s">
        <v>20</v>
      </c>
      <c r="D87" s="9" t="s">
        <v>81</v>
      </c>
      <c r="E87" s="9" t="s">
        <v>124</v>
      </c>
      <c r="F87" s="9" t="s">
        <v>118</v>
      </c>
      <c r="G87" s="9" t="s">
        <v>115</v>
      </c>
      <c r="H87" s="126">
        <f t="shared" si="3"/>
        <v>0</v>
      </c>
      <c r="I87" s="78"/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51" hidden="1">
      <c r="A88" s="82" t="s">
        <v>237</v>
      </c>
      <c r="B88" s="9"/>
      <c r="C88" s="83" t="s">
        <v>18</v>
      </c>
      <c r="D88" s="9" t="s">
        <v>81</v>
      </c>
      <c r="E88" s="83" t="s">
        <v>124</v>
      </c>
      <c r="F88" s="84" t="s">
        <v>238</v>
      </c>
      <c r="G88" s="84" t="s">
        <v>115</v>
      </c>
      <c r="H88" s="126">
        <f t="shared" si="3"/>
        <v>0</v>
      </c>
      <c r="I88" s="78"/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38.25" hidden="1">
      <c r="A89" s="82" t="s">
        <v>239</v>
      </c>
      <c r="B89" s="9"/>
      <c r="C89" s="83" t="s">
        <v>18</v>
      </c>
      <c r="D89" s="9" t="s">
        <v>81</v>
      </c>
      <c r="E89" s="83" t="s">
        <v>124</v>
      </c>
      <c r="F89" s="84" t="s">
        <v>240</v>
      </c>
      <c r="G89" s="84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/>
    </row>
    <row r="90" spans="1:15" s="25" customFormat="1" ht="25.5">
      <c r="A90" s="85" t="s">
        <v>248</v>
      </c>
      <c r="B90" s="9"/>
      <c r="C90" s="9" t="s">
        <v>20</v>
      </c>
      <c r="D90" s="9" t="s">
        <v>81</v>
      </c>
      <c r="E90" s="83" t="s">
        <v>108</v>
      </c>
      <c r="F90" s="10" t="s">
        <v>247</v>
      </c>
      <c r="G90" s="84" t="s">
        <v>115</v>
      </c>
      <c r="H90" s="126">
        <f t="shared" si="3"/>
        <v>20000</v>
      </c>
      <c r="I90" s="78">
        <f>10000+10000+15000-15000</f>
        <v>20000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25.5">
      <c r="A91" s="22" t="s">
        <v>241</v>
      </c>
      <c r="B91" s="9"/>
      <c r="C91" s="9" t="s">
        <v>20</v>
      </c>
      <c r="D91" s="9" t="s">
        <v>81</v>
      </c>
      <c r="E91" s="9" t="s">
        <v>108</v>
      </c>
      <c r="F91" s="9" t="s">
        <v>242</v>
      </c>
      <c r="G91" s="9" t="s">
        <v>115</v>
      </c>
      <c r="H91" s="126">
        <f t="shared" si="3"/>
        <v>48100</v>
      </c>
      <c r="I91" s="78">
        <f>33100+15000</f>
        <v>48100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 hidden="1">
      <c r="A92" s="85" t="s">
        <v>243</v>
      </c>
      <c r="B92" s="57"/>
      <c r="C92" s="9" t="s">
        <v>20</v>
      </c>
      <c r="D92" s="9" t="s">
        <v>81</v>
      </c>
      <c r="E92" s="9" t="s">
        <v>108</v>
      </c>
      <c r="F92" s="9" t="s">
        <v>244</v>
      </c>
      <c r="G92" s="9" t="s">
        <v>115</v>
      </c>
      <c r="H92" s="126">
        <f t="shared" si="3"/>
        <v>0</v>
      </c>
      <c r="I92" s="78">
        <f>10000-10000</f>
        <v>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12.75" hidden="1">
      <c r="A93" s="22"/>
      <c r="B93" s="9"/>
      <c r="C93" s="9"/>
      <c r="D93" s="9"/>
      <c r="E93" s="9"/>
      <c r="F93" s="9"/>
      <c r="G93" s="9"/>
      <c r="H93" s="126"/>
      <c r="I93" s="78"/>
      <c r="J93" s="78"/>
      <c r="K93" s="107"/>
      <c r="L93" s="107"/>
      <c r="M93" s="107"/>
      <c r="N93" s="107"/>
      <c r="O93" s="6"/>
    </row>
    <row r="94" spans="1:15" s="25" customFormat="1" ht="12.75" hidden="1">
      <c r="A94" s="22"/>
      <c r="B94" s="9"/>
      <c r="C94" s="9"/>
      <c r="D94" s="9"/>
      <c r="E94" s="9"/>
      <c r="F94" s="9"/>
      <c r="G94" s="9"/>
      <c r="H94" s="126"/>
      <c r="I94" s="78"/>
      <c r="J94" s="78"/>
      <c r="K94" s="107"/>
      <c r="L94" s="107"/>
      <c r="M94" s="107"/>
      <c r="N94" s="107"/>
      <c r="O94" s="6"/>
    </row>
    <row r="95" spans="1:15" s="25" customFormat="1" ht="12.75" hidden="1">
      <c r="A95" s="22" t="s">
        <v>188</v>
      </c>
      <c r="B95" s="9"/>
      <c r="C95" s="9" t="s">
        <v>20</v>
      </c>
      <c r="D95" s="9" t="s">
        <v>81</v>
      </c>
      <c r="E95" s="9" t="s">
        <v>108</v>
      </c>
      <c r="F95" s="9" t="s">
        <v>119</v>
      </c>
      <c r="G95" s="9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3.5">
      <c r="A96" s="681" t="s">
        <v>125</v>
      </c>
      <c r="B96" s="683"/>
      <c r="C96" s="27" t="s">
        <v>21</v>
      </c>
      <c r="D96" s="3"/>
      <c r="E96" s="27"/>
      <c r="F96" s="3"/>
      <c r="G96" s="3"/>
      <c r="H96" s="124">
        <f>K96</f>
        <v>653340</v>
      </c>
      <c r="I96" s="98"/>
      <c r="J96" s="97"/>
      <c r="K96" s="97">
        <f>K99</f>
        <v>653340</v>
      </c>
      <c r="L96" s="110"/>
      <c r="M96" s="110"/>
      <c r="N96" s="111" t="s">
        <v>107</v>
      </c>
      <c r="O96" s="28"/>
    </row>
    <row r="97" spans="1:15" s="25" customFormat="1" ht="12.75" hidden="1">
      <c r="A97" s="22" t="s">
        <v>4</v>
      </c>
      <c r="B97" s="9"/>
      <c r="C97" s="9"/>
      <c r="D97" s="9"/>
      <c r="E97" s="9"/>
      <c r="F97" s="9" t="s">
        <v>99</v>
      </c>
      <c r="G97" s="9" t="s">
        <v>109</v>
      </c>
      <c r="H97" s="126">
        <f>I97</f>
        <v>0</v>
      </c>
      <c r="I97" s="78"/>
      <c r="J97" s="78"/>
      <c r="K97" s="116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2.75" hidden="1">
      <c r="A98" s="22" t="s">
        <v>5</v>
      </c>
      <c r="B98" s="9"/>
      <c r="C98" s="9"/>
      <c r="D98" s="9"/>
      <c r="E98" s="9"/>
      <c r="F98" s="9"/>
      <c r="G98" s="9"/>
      <c r="H98" s="126">
        <f>I98</f>
        <v>0</v>
      </c>
      <c r="I98" s="78"/>
      <c r="J98" s="78"/>
      <c r="K98" s="116" t="s">
        <v>76</v>
      </c>
      <c r="L98" s="107" t="s">
        <v>76</v>
      </c>
      <c r="M98" s="107" t="s">
        <v>76</v>
      </c>
      <c r="N98" s="107" t="s">
        <v>76</v>
      </c>
      <c r="O98" s="6" t="s">
        <v>76</v>
      </c>
    </row>
    <row r="99" spans="1:15" s="25" customFormat="1" ht="13.5">
      <c r="A99" s="22" t="s">
        <v>12</v>
      </c>
      <c r="B99" s="9"/>
      <c r="C99" s="41" t="s">
        <v>21</v>
      </c>
      <c r="D99" s="9" t="s">
        <v>89</v>
      </c>
      <c r="E99" s="9" t="s">
        <v>126</v>
      </c>
      <c r="F99" s="9" t="s">
        <v>116</v>
      </c>
      <c r="G99" s="9" t="s">
        <v>115</v>
      </c>
      <c r="H99" s="126">
        <f aca="true" t="shared" si="4" ref="H99:H114">K99</f>
        <v>653340</v>
      </c>
      <c r="I99" s="107" t="s">
        <v>76</v>
      </c>
      <c r="J99" s="78"/>
      <c r="K99" s="391">
        <f>676900-23560</f>
        <v>653340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8.75" customHeight="1" hidden="1">
      <c r="A100" s="687" t="s">
        <v>127</v>
      </c>
      <c r="B100" s="688"/>
      <c r="C100" s="27" t="s">
        <v>22</v>
      </c>
      <c r="D100" s="3"/>
      <c r="E100" s="3"/>
      <c r="F100" s="3"/>
      <c r="G100" s="3"/>
      <c r="H100" s="131">
        <f t="shared" si="4"/>
        <v>0</v>
      </c>
      <c r="I100" s="117"/>
      <c r="J100" s="110"/>
      <c r="K100" s="118">
        <f>K101</f>
        <v>0</v>
      </c>
      <c r="L100" s="117"/>
      <c r="M100" s="117"/>
      <c r="N100" s="117"/>
      <c r="O100" s="6"/>
    </row>
    <row r="101" spans="1:15" s="25" customFormat="1" ht="13.5" customHeight="1" hidden="1">
      <c r="A101" s="22" t="s">
        <v>12</v>
      </c>
      <c r="B101" s="40"/>
      <c r="C101" s="41" t="s">
        <v>22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0</v>
      </c>
      <c r="I101" s="107" t="s">
        <v>76</v>
      </c>
      <c r="J101" s="78"/>
      <c r="K101" s="116"/>
      <c r="L101" s="107"/>
      <c r="M101" s="107"/>
      <c r="N101" s="107" t="s">
        <v>76</v>
      </c>
      <c r="O101" s="6"/>
    </row>
    <row r="102" spans="1:15" s="25" customFormat="1" ht="28.5" customHeight="1">
      <c r="A102" s="39" t="s">
        <v>190</v>
      </c>
      <c r="B102" s="55"/>
      <c r="C102" s="27" t="s">
        <v>41</v>
      </c>
      <c r="D102" s="3"/>
      <c r="E102" s="3"/>
      <c r="F102" s="3"/>
      <c r="G102" s="3"/>
      <c r="H102" s="124">
        <f t="shared" si="4"/>
        <v>24000</v>
      </c>
      <c r="I102" s="119"/>
      <c r="J102" s="97"/>
      <c r="K102" s="120">
        <f>K103</f>
        <v>24000</v>
      </c>
      <c r="L102" s="117"/>
      <c r="M102" s="117"/>
      <c r="N102" s="117"/>
      <c r="O102" s="6"/>
    </row>
    <row r="103" spans="1:15" s="25" customFormat="1" ht="12.75">
      <c r="A103" s="22" t="s">
        <v>12</v>
      </c>
      <c r="B103" s="40"/>
      <c r="C103" s="9" t="s">
        <v>41</v>
      </c>
      <c r="D103" s="9" t="s">
        <v>81</v>
      </c>
      <c r="E103" s="9" t="s">
        <v>154</v>
      </c>
      <c r="F103" s="9" t="s">
        <v>116</v>
      </c>
      <c r="G103" s="9" t="s">
        <v>115</v>
      </c>
      <c r="H103" s="126">
        <f t="shared" si="4"/>
        <v>24000</v>
      </c>
      <c r="I103" s="107" t="s">
        <v>76</v>
      </c>
      <c r="J103" s="78"/>
      <c r="K103" s="116">
        <v>24000</v>
      </c>
      <c r="L103" s="107"/>
      <c r="M103" s="107"/>
      <c r="N103" s="107" t="s">
        <v>76</v>
      </c>
      <c r="O103" s="6"/>
    </row>
    <row r="104" spans="1:15" s="25" customFormat="1" ht="36" customHeight="1">
      <c r="A104" s="681" t="s">
        <v>374</v>
      </c>
      <c r="B104" s="683"/>
      <c r="C104" s="27" t="s">
        <v>373</v>
      </c>
      <c r="D104" s="3"/>
      <c r="E104" s="3"/>
      <c r="F104" s="3"/>
      <c r="G104" s="3"/>
      <c r="H104" s="435">
        <f>K104</f>
        <v>60000</v>
      </c>
      <c r="I104" s="436" t="s">
        <v>76</v>
      </c>
      <c r="J104" s="437"/>
      <c r="K104" s="435">
        <f>SUM(K105:K108)</f>
        <v>60000</v>
      </c>
      <c r="L104" s="435">
        <f>SUM(L105:L108)</f>
        <v>0</v>
      </c>
      <c r="M104" s="435">
        <f>SUM(M105:M108)</f>
        <v>0</v>
      </c>
      <c r="N104" s="435"/>
      <c r="O104" s="6"/>
    </row>
    <row r="105" spans="1:15" s="25" customFormat="1" ht="12.75">
      <c r="A105" s="8" t="s">
        <v>335</v>
      </c>
      <c r="B105" s="40"/>
      <c r="C105" s="60" t="s">
        <v>373</v>
      </c>
      <c r="D105" s="434" t="s">
        <v>332</v>
      </c>
      <c r="E105" s="9" t="s">
        <v>108</v>
      </c>
      <c r="F105" s="9" t="s">
        <v>116</v>
      </c>
      <c r="G105" s="9" t="s">
        <v>115</v>
      </c>
      <c r="H105" s="433">
        <f>K105</f>
        <v>43200</v>
      </c>
      <c r="I105" s="107"/>
      <c r="J105" s="78"/>
      <c r="K105" s="116">
        <v>43200</v>
      </c>
      <c r="L105" s="107"/>
      <c r="M105" s="107"/>
      <c r="N105" s="107"/>
      <c r="O105" s="6"/>
    </row>
    <row r="106" spans="1:15" s="25" customFormat="1" ht="12.75">
      <c r="A106" s="8" t="s">
        <v>336</v>
      </c>
      <c r="B106" s="40"/>
      <c r="C106" s="60" t="s">
        <v>373</v>
      </c>
      <c r="D106" s="434" t="s">
        <v>214</v>
      </c>
      <c r="E106" s="9" t="s">
        <v>108</v>
      </c>
      <c r="F106" s="9" t="s">
        <v>116</v>
      </c>
      <c r="G106" s="9" t="s">
        <v>115</v>
      </c>
      <c r="H106" s="433">
        <f>K106</f>
        <v>4800</v>
      </c>
      <c r="I106" s="107"/>
      <c r="J106" s="78"/>
      <c r="K106" s="116">
        <v>4800</v>
      </c>
      <c r="L106" s="107"/>
      <c r="M106" s="107"/>
      <c r="N106" s="107"/>
      <c r="O106" s="6"/>
    </row>
    <row r="107" spans="1:15" s="25" customFormat="1" ht="12.75">
      <c r="A107" s="8" t="s">
        <v>336</v>
      </c>
      <c r="B107" s="40"/>
      <c r="C107" s="60" t="s">
        <v>373</v>
      </c>
      <c r="D107" s="434" t="s">
        <v>333</v>
      </c>
      <c r="E107" s="9" t="s">
        <v>108</v>
      </c>
      <c r="F107" s="9" t="s">
        <v>116</v>
      </c>
      <c r="G107" s="9" t="s">
        <v>115</v>
      </c>
      <c r="H107" s="433">
        <f>K107</f>
        <v>10800</v>
      </c>
      <c r="I107" s="107"/>
      <c r="J107" s="78"/>
      <c r="K107" s="116">
        <v>10800</v>
      </c>
      <c r="L107" s="107"/>
      <c r="M107" s="107"/>
      <c r="N107" s="107"/>
      <c r="O107" s="6"/>
    </row>
    <row r="108" spans="1:15" s="25" customFormat="1" ht="12.75">
      <c r="A108" s="8" t="s">
        <v>337</v>
      </c>
      <c r="B108" s="40"/>
      <c r="C108" s="60" t="s">
        <v>373</v>
      </c>
      <c r="D108" s="434" t="s">
        <v>216</v>
      </c>
      <c r="E108" s="9" t="s">
        <v>108</v>
      </c>
      <c r="F108" s="9" t="s">
        <v>116</v>
      </c>
      <c r="G108" s="9" t="s">
        <v>115</v>
      </c>
      <c r="H108" s="433">
        <f>K108</f>
        <v>1200</v>
      </c>
      <c r="I108" s="107"/>
      <c r="J108" s="78"/>
      <c r="K108" s="116">
        <v>1200</v>
      </c>
      <c r="L108" s="107"/>
      <c r="M108" s="107"/>
      <c r="N108" s="107"/>
      <c r="O108" s="6"/>
    </row>
    <row r="109" spans="1:15" s="25" customFormat="1" ht="41.25" customHeight="1">
      <c r="A109" s="681" t="s">
        <v>334</v>
      </c>
      <c r="B109" s="683"/>
      <c r="C109" s="27" t="s">
        <v>211</v>
      </c>
      <c r="D109" s="3"/>
      <c r="E109" s="3"/>
      <c r="F109" s="3"/>
      <c r="G109" s="3"/>
      <c r="H109" s="124">
        <f t="shared" si="4"/>
        <v>80000</v>
      </c>
      <c r="I109" s="117" t="s">
        <v>76</v>
      </c>
      <c r="J109" s="110"/>
      <c r="K109" s="97">
        <f>SUM(K110:K114)</f>
        <v>80000</v>
      </c>
      <c r="L109" s="117"/>
      <c r="M109" s="117"/>
      <c r="N109" s="117" t="s">
        <v>76</v>
      </c>
      <c r="O109" s="6"/>
    </row>
    <row r="110" spans="1:15" s="25" customFormat="1" ht="12.75">
      <c r="A110" s="22" t="s">
        <v>12</v>
      </c>
      <c r="B110" s="57"/>
      <c r="C110" s="9" t="s">
        <v>204</v>
      </c>
      <c r="D110" s="9" t="s">
        <v>81</v>
      </c>
      <c r="E110" s="9" t="s">
        <v>108</v>
      </c>
      <c r="F110" s="9" t="s">
        <v>116</v>
      </c>
      <c r="G110" s="9" t="s">
        <v>115</v>
      </c>
      <c r="H110" s="126">
        <f t="shared" si="4"/>
        <v>80000</v>
      </c>
      <c r="I110" s="107" t="s">
        <v>76</v>
      </c>
      <c r="J110" s="107"/>
      <c r="K110" s="116">
        <v>80000</v>
      </c>
      <c r="L110" s="107"/>
      <c r="M110" s="107"/>
      <c r="N110" s="107" t="s">
        <v>76</v>
      </c>
      <c r="O110" s="6"/>
    </row>
    <row r="111" spans="1:15" s="25" customFormat="1" ht="12.75">
      <c r="A111" s="8" t="s">
        <v>335</v>
      </c>
      <c r="B111" s="9"/>
      <c r="C111" s="9" t="s">
        <v>211</v>
      </c>
      <c r="D111" s="393" t="s">
        <v>332</v>
      </c>
      <c r="E111" s="9" t="s">
        <v>108</v>
      </c>
      <c r="F111" s="9" t="s">
        <v>116</v>
      </c>
      <c r="G111" s="9" t="s">
        <v>115</v>
      </c>
      <c r="H111" s="126">
        <f t="shared" si="4"/>
        <v>0</v>
      </c>
      <c r="I111" s="107" t="s">
        <v>76</v>
      </c>
      <c r="J111" s="78"/>
      <c r="K111" s="109"/>
      <c r="L111" s="107"/>
      <c r="M111" s="107"/>
      <c r="N111" s="107" t="s">
        <v>76</v>
      </c>
      <c r="O111" s="64" t="s">
        <v>76</v>
      </c>
    </row>
    <row r="112" spans="1:15" s="25" customFormat="1" ht="12.75">
      <c r="A112" s="8" t="s">
        <v>336</v>
      </c>
      <c r="B112" s="9"/>
      <c r="C112" s="9" t="s">
        <v>211</v>
      </c>
      <c r="D112" s="393" t="s">
        <v>214</v>
      </c>
      <c r="E112" s="9" t="s">
        <v>108</v>
      </c>
      <c r="F112" s="9" t="s">
        <v>116</v>
      </c>
      <c r="G112" s="9" t="s">
        <v>115</v>
      </c>
      <c r="H112" s="126">
        <f t="shared" si="4"/>
        <v>0</v>
      </c>
      <c r="I112" s="107" t="s">
        <v>76</v>
      </c>
      <c r="J112" s="78"/>
      <c r="K112" s="78"/>
      <c r="L112" s="107"/>
      <c r="M112" s="107"/>
      <c r="N112" s="107" t="s">
        <v>76</v>
      </c>
      <c r="O112" s="6"/>
    </row>
    <row r="113" spans="1:15" s="25" customFormat="1" ht="12.75">
      <c r="A113" s="8" t="s">
        <v>336</v>
      </c>
      <c r="B113" s="9"/>
      <c r="C113" s="9" t="s">
        <v>211</v>
      </c>
      <c r="D113" s="393" t="s">
        <v>333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78"/>
      <c r="L113" s="107"/>
      <c r="M113" s="107"/>
      <c r="N113" s="107" t="s">
        <v>76</v>
      </c>
      <c r="O113" s="6"/>
    </row>
    <row r="114" spans="1:15" s="25" customFormat="1" ht="12.75">
      <c r="A114" s="8" t="s">
        <v>337</v>
      </c>
      <c r="B114" s="9"/>
      <c r="C114" s="9" t="s">
        <v>211</v>
      </c>
      <c r="D114" s="393" t="s">
        <v>216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41.25" customHeight="1">
      <c r="A115" s="681" t="s">
        <v>360</v>
      </c>
      <c r="B115" s="683"/>
      <c r="C115" s="27" t="s">
        <v>51</v>
      </c>
      <c r="D115" s="43"/>
      <c r="E115" s="42"/>
      <c r="F115" s="42"/>
      <c r="G115" s="42"/>
      <c r="H115" s="124"/>
      <c r="I115" s="119"/>
      <c r="J115" s="97"/>
      <c r="K115" s="120">
        <f>SUM(K117:K125)</f>
        <v>385325.2</v>
      </c>
      <c r="L115" s="119"/>
      <c r="M115" s="119"/>
      <c r="N115" s="119"/>
      <c r="O115" s="6"/>
    </row>
    <row r="116" spans="1:15" s="25" customFormat="1" ht="12.75" hidden="1">
      <c r="A116" s="61" t="s">
        <v>11</v>
      </c>
      <c r="B116" s="59"/>
      <c r="C116" s="59" t="s">
        <v>51</v>
      </c>
      <c r="D116" s="59" t="s">
        <v>81</v>
      </c>
      <c r="E116" s="59" t="s">
        <v>218</v>
      </c>
      <c r="F116" s="59" t="s">
        <v>121</v>
      </c>
      <c r="G116" s="59" t="s">
        <v>115</v>
      </c>
      <c r="H116" s="127">
        <f aca="true" t="shared" si="5" ref="H116:H125">K116</f>
        <v>0</v>
      </c>
      <c r="I116" s="101" t="s">
        <v>76</v>
      </c>
      <c r="J116" s="102"/>
      <c r="K116" s="104"/>
      <c r="L116" s="102"/>
      <c r="M116" s="100"/>
      <c r="N116" s="101" t="s">
        <v>76</v>
      </c>
      <c r="O116" s="6"/>
    </row>
    <row r="117" spans="1:15" s="25" customFormat="1" ht="12.75">
      <c r="A117" s="684" t="s">
        <v>12</v>
      </c>
      <c r="B117" s="9"/>
      <c r="C117" s="678" t="s">
        <v>51</v>
      </c>
      <c r="D117" s="9" t="s">
        <v>81</v>
      </c>
      <c r="E117" s="678" t="s">
        <v>218</v>
      </c>
      <c r="F117" s="678" t="s">
        <v>116</v>
      </c>
      <c r="G117" s="678" t="s">
        <v>115</v>
      </c>
      <c r="H117" s="126">
        <f t="shared" si="5"/>
        <v>198138.2</v>
      </c>
      <c r="I117" s="107" t="s">
        <v>76</v>
      </c>
      <c r="J117" s="107"/>
      <c r="K117" s="116">
        <f>195152.7+2985.5</f>
        <v>198138.2</v>
      </c>
      <c r="L117" s="107"/>
      <c r="M117" s="107"/>
      <c r="N117" s="107" t="s">
        <v>76</v>
      </c>
      <c r="O117" s="6"/>
    </row>
    <row r="118" spans="1:15" s="25" customFormat="1" ht="12.75">
      <c r="A118" s="685"/>
      <c r="B118" s="9"/>
      <c r="C118" s="679"/>
      <c r="D118" s="9" t="s">
        <v>219</v>
      </c>
      <c r="E118" s="679"/>
      <c r="F118" s="679"/>
      <c r="G118" s="679"/>
      <c r="H118" s="126">
        <f t="shared" si="5"/>
        <v>168468.3</v>
      </c>
      <c r="I118" s="107" t="s">
        <v>76</v>
      </c>
      <c r="J118" s="107"/>
      <c r="K118" s="116">
        <f>148024.8+20443.5</f>
        <v>168468.3</v>
      </c>
      <c r="L118" s="107"/>
      <c r="M118" s="107"/>
      <c r="N118" s="107" t="s">
        <v>76</v>
      </c>
      <c r="O118" s="6"/>
    </row>
    <row r="119" spans="1:15" s="25" customFormat="1" ht="12.75">
      <c r="A119" s="686"/>
      <c r="B119" s="9"/>
      <c r="C119" s="680"/>
      <c r="D119" s="9" t="s">
        <v>196</v>
      </c>
      <c r="E119" s="680"/>
      <c r="F119" s="680"/>
      <c r="G119" s="680"/>
      <c r="H119" s="126">
        <f t="shared" si="5"/>
        <v>9865.1</v>
      </c>
      <c r="I119" s="107"/>
      <c r="J119" s="107"/>
      <c r="K119" s="116">
        <f>7593.6+2271.5</f>
        <v>9865.1</v>
      </c>
      <c r="L119" s="107"/>
      <c r="M119" s="107"/>
      <c r="N119" s="107" t="s">
        <v>76</v>
      </c>
      <c r="O119" s="6"/>
    </row>
    <row r="120" spans="1:15" s="25" customFormat="1" ht="12.75">
      <c r="A120" s="431" t="s">
        <v>362</v>
      </c>
      <c r="B120" s="9"/>
      <c r="C120" s="9" t="s">
        <v>51</v>
      </c>
      <c r="D120" s="9" t="s">
        <v>196</v>
      </c>
      <c r="E120" s="9" t="s">
        <v>218</v>
      </c>
      <c r="F120" s="9" t="s">
        <v>361</v>
      </c>
      <c r="G120" s="9" t="s">
        <v>115</v>
      </c>
      <c r="H120" s="126">
        <f t="shared" si="5"/>
        <v>2272.2</v>
      </c>
      <c r="I120" s="107"/>
      <c r="J120" s="107"/>
      <c r="K120" s="116">
        <v>2272.2</v>
      </c>
      <c r="L120" s="107"/>
      <c r="M120" s="107"/>
      <c r="N120" s="107" t="s">
        <v>76</v>
      </c>
      <c r="O120" s="6"/>
    </row>
    <row r="121" spans="1:15" s="25" customFormat="1" ht="39.75" customHeight="1">
      <c r="A121" s="431" t="s">
        <v>363</v>
      </c>
      <c r="B121" s="9"/>
      <c r="C121" s="9" t="s">
        <v>51</v>
      </c>
      <c r="D121" s="9" t="s">
        <v>196</v>
      </c>
      <c r="E121" s="9" t="s">
        <v>218</v>
      </c>
      <c r="F121" s="9" t="s">
        <v>240</v>
      </c>
      <c r="G121" s="9" t="s">
        <v>115</v>
      </c>
      <c r="H121" s="126">
        <f t="shared" si="5"/>
        <v>2625</v>
      </c>
      <c r="I121" s="107"/>
      <c r="J121" s="107"/>
      <c r="K121" s="116">
        <v>2625</v>
      </c>
      <c r="L121" s="107"/>
      <c r="M121" s="107"/>
      <c r="N121" s="107" t="s">
        <v>76</v>
      </c>
      <c r="O121" s="6"/>
    </row>
    <row r="122" spans="1:15" s="25" customFormat="1" ht="28.5" customHeight="1">
      <c r="A122" s="431" t="s">
        <v>364</v>
      </c>
      <c r="B122" s="9"/>
      <c r="C122" s="9" t="s">
        <v>51</v>
      </c>
      <c r="D122" s="9" t="s">
        <v>196</v>
      </c>
      <c r="E122" s="9" t="s">
        <v>218</v>
      </c>
      <c r="F122" s="9" t="s">
        <v>242</v>
      </c>
      <c r="G122" s="9" t="s">
        <v>115</v>
      </c>
      <c r="H122" s="126">
        <f t="shared" si="5"/>
        <v>3956.4</v>
      </c>
      <c r="I122" s="107"/>
      <c r="J122" s="107"/>
      <c r="K122" s="116">
        <v>3956.4</v>
      </c>
      <c r="L122" s="107"/>
      <c r="M122" s="107"/>
      <c r="N122" s="107" t="s">
        <v>76</v>
      </c>
      <c r="O122" s="6"/>
    </row>
    <row r="123" spans="1:15" s="25" customFormat="1" ht="12.75" hidden="1">
      <c r="A123" s="22" t="s">
        <v>359</v>
      </c>
      <c r="B123" s="9"/>
      <c r="C123" s="9" t="s">
        <v>51</v>
      </c>
      <c r="D123" s="9" t="s">
        <v>81</v>
      </c>
      <c r="E123" s="9" t="s">
        <v>218</v>
      </c>
      <c r="F123" s="9" t="s">
        <v>118</v>
      </c>
      <c r="G123" s="9" t="s">
        <v>115</v>
      </c>
      <c r="H123" s="126">
        <f>K123</f>
        <v>0</v>
      </c>
      <c r="I123" s="107" t="s">
        <v>76</v>
      </c>
      <c r="J123" s="107"/>
      <c r="K123" s="116"/>
      <c r="L123" s="101"/>
      <c r="M123" s="101"/>
      <c r="N123" s="101" t="s">
        <v>76</v>
      </c>
      <c r="O123" s="6"/>
    </row>
    <row r="124" spans="1:15" s="25" customFormat="1" ht="12.75" hidden="1">
      <c r="A124" s="684" t="s">
        <v>221</v>
      </c>
      <c r="B124" s="9"/>
      <c r="C124" s="678" t="s">
        <v>51</v>
      </c>
      <c r="D124" s="9" t="s">
        <v>81</v>
      </c>
      <c r="E124" s="678" t="s">
        <v>218</v>
      </c>
      <c r="F124" s="678" t="s">
        <v>119</v>
      </c>
      <c r="G124" s="678" t="s">
        <v>115</v>
      </c>
      <c r="H124" s="126">
        <f t="shared" si="5"/>
        <v>0</v>
      </c>
      <c r="I124" s="107" t="s">
        <v>76</v>
      </c>
      <c r="J124" s="107"/>
      <c r="K124" s="116"/>
      <c r="L124" s="101"/>
      <c r="M124" s="101"/>
      <c r="N124" s="101" t="s">
        <v>76</v>
      </c>
      <c r="O124" s="6"/>
    </row>
    <row r="125" spans="1:15" s="25" customFormat="1" ht="12.75" hidden="1">
      <c r="A125" s="686"/>
      <c r="B125" s="9"/>
      <c r="C125" s="680"/>
      <c r="D125" s="9" t="s">
        <v>196</v>
      </c>
      <c r="E125" s="680"/>
      <c r="F125" s="680"/>
      <c r="G125" s="680"/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5" customHeight="1">
      <c r="A126" s="681" t="s">
        <v>210</v>
      </c>
      <c r="B126" s="683"/>
      <c r="C126" s="27" t="s">
        <v>163</v>
      </c>
      <c r="D126" s="44"/>
      <c r="E126" s="3"/>
      <c r="F126" s="3"/>
      <c r="G126" s="3"/>
      <c r="H126" s="131"/>
      <c r="I126" s="117"/>
      <c r="J126" s="110"/>
      <c r="K126" s="120">
        <f>K127+K128</f>
        <v>950000</v>
      </c>
      <c r="L126" s="117"/>
      <c r="M126" s="117"/>
      <c r="N126" s="117"/>
      <c r="O126" s="6"/>
    </row>
    <row r="127" spans="1:15" s="25" customFormat="1" ht="15.75" customHeight="1">
      <c r="A127" s="22" t="s">
        <v>11</v>
      </c>
      <c r="B127" s="40"/>
      <c r="C127" s="41" t="s">
        <v>163</v>
      </c>
      <c r="D127" s="6" t="s">
        <v>162</v>
      </c>
      <c r="E127" s="9" t="s">
        <v>157</v>
      </c>
      <c r="F127" s="46">
        <v>225</v>
      </c>
      <c r="G127" s="9" t="s">
        <v>115</v>
      </c>
      <c r="H127" s="129" t="s">
        <v>76</v>
      </c>
      <c r="I127" s="107" t="s">
        <v>76</v>
      </c>
      <c r="J127" s="78"/>
      <c r="K127" s="116">
        <v>950000</v>
      </c>
      <c r="L127" s="107"/>
      <c r="M127" s="107"/>
      <c r="N127" s="107" t="s">
        <v>76</v>
      </c>
      <c r="O127" s="6"/>
    </row>
    <row r="128" spans="1:15" s="25" customFormat="1" ht="13.5" hidden="1">
      <c r="A128" s="47" t="s">
        <v>14</v>
      </c>
      <c r="B128" s="40"/>
      <c r="C128" s="41" t="s">
        <v>163</v>
      </c>
      <c r="D128" s="6" t="s">
        <v>162</v>
      </c>
      <c r="E128" s="9" t="s">
        <v>157</v>
      </c>
      <c r="F128" s="9" t="s">
        <v>118</v>
      </c>
      <c r="G128" s="9" t="s">
        <v>115</v>
      </c>
      <c r="H128" s="126"/>
      <c r="I128" s="107"/>
      <c r="J128" s="78"/>
      <c r="K128" s="116"/>
      <c r="L128" s="107"/>
      <c r="M128" s="107"/>
      <c r="N128" s="107"/>
      <c r="O128" s="6"/>
    </row>
    <row r="129" spans="1:15" s="25" customFormat="1" ht="15" customHeight="1" hidden="1">
      <c r="A129" s="681" t="s">
        <v>177</v>
      </c>
      <c r="B129" s="683"/>
      <c r="C129" s="27" t="s">
        <v>23</v>
      </c>
      <c r="D129" s="44"/>
      <c r="E129" s="3"/>
      <c r="F129" s="3"/>
      <c r="G129" s="3"/>
      <c r="H129" s="131"/>
      <c r="I129" s="117"/>
      <c r="J129" s="110"/>
      <c r="K129" s="118">
        <f>K130</f>
        <v>0</v>
      </c>
      <c r="L129" s="117"/>
      <c r="M129" s="117"/>
      <c r="N129" s="117"/>
      <c r="O129" s="6"/>
    </row>
    <row r="130" spans="1:15" s="25" customFormat="1" ht="15" customHeight="1" hidden="1">
      <c r="A130" s="22" t="s">
        <v>178</v>
      </c>
      <c r="B130" s="9"/>
      <c r="C130" s="9" t="s">
        <v>23</v>
      </c>
      <c r="D130" s="9" t="s">
        <v>81</v>
      </c>
      <c r="E130" s="9" t="s">
        <v>108</v>
      </c>
      <c r="F130" s="9" t="s">
        <v>116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29.25" customHeight="1" hidden="1">
      <c r="A131" s="681" t="s">
        <v>191</v>
      </c>
      <c r="B131" s="683"/>
      <c r="C131" s="27" t="s">
        <v>192</v>
      </c>
      <c r="D131" s="3"/>
      <c r="E131" s="3"/>
      <c r="F131" s="3"/>
      <c r="G131" s="3"/>
      <c r="H131" s="124">
        <f aca="true" t="shared" si="6" ref="H131:H137">K131</f>
        <v>0</v>
      </c>
      <c r="I131" s="119"/>
      <c r="J131" s="97"/>
      <c r="K131" s="97">
        <f>K132+K133</f>
        <v>0</v>
      </c>
      <c r="L131" s="117"/>
      <c r="M131" s="117"/>
      <c r="N131" s="117"/>
      <c r="O131" s="6"/>
    </row>
    <row r="132" spans="1:15" s="25" customFormat="1" ht="16.5" customHeight="1" hidden="1">
      <c r="A132" s="61" t="s">
        <v>195</v>
      </c>
      <c r="B132" s="67"/>
      <c r="C132" s="59" t="s">
        <v>192</v>
      </c>
      <c r="D132" s="59" t="s">
        <v>193</v>
      </c>
      <c r="E132" s="59" t="s">
        <v>108</v>
      </c>
      <c r="F132" s="59" t="s">
        <v>121</v>
      </c>
      <c r="G132" s="59" t="s">
        <v>194</v>
      </c>
      <c r="H132" s="127">
        <f t="shared" si="6"/>
        <v>0</v>
      </c>
      <c r="I132" s="101" t="s">
        <v>76</v>
      </c>
      <c r="J132" s="100"/>
      <c r="K132" s="104"/>
      <c r="L132" s="101"/>
      <c r="M132" s="101"/>
      <c r="N132" s="101" t="s">
        <v>76</v>
      </c>
      <c r="O132" s="6"/>
    </row>
    <row r="133" spans="1:15" s="25" customFormat="1" ht="16.5" customHeight="1" hidden="1">
      <c r="A133" s="61" t="s">
        <v>195</v>
      </c>
      <c r="B133" s="68"/>
      <c r="C133" s="59" t="s">
        <v>192</v>
      </c>
      <c r="D133" s="59" t="s">
        <v>196</v>
      </c>
      <c r="E133" s="59" t="s">
        <v>108</v>
      </c>
      <c r="F133" s="59" t="s">
        <v>121</v>
      </c>
      <c r="G133" s="59" t="s">
        <v>194</v>
      </c>
      <c r="H133" s="127">
        <f t="shared" si="6"/>
        <v>0</v>
      </c>
      <c r="I133" s="101" t="s">
        <v>76</v>
      </c>
      <c r="J133" s="100"/>
      <c r="K133" s="104"/>
      <c r="L133" s="101"/>
      <c r="M133" s="101"/>
      <c r="N133" s="101" t="s">
        <v>76</v>
      </c>
      <c r="O133" s="6"/>
    </row>
    <row r="134" spans="1:15" s="25" customFormat="1" ht="16.5" customHeight="1">
      <c r="A134" s="39" t="s">
        <v>222</v>
      </c>
      <c r="B134" s="38"/>
      <c r="C134" s="27" t="s">
        <v>203</v>
      </c>
      <c r="D134" s="3"/>
      <c r="E134" s="3"/>
      <c r="F134" s="3"/>
      <c r="G134" s="3"/>
      <c r="H134" s="124">
        <f t="shared" si="6"/>
        <v>10000</v>
      </c>
      <c r="I134" s="117" t="s">
        <v>76</v>
      </c>
      <c r="J134" s="110"/>
      <c r="K134" s="120">
        <f>K135</f>
        <v>10000</v>
      </c>
      <c r="L134" s="117"/>
      <c r="M134" s="117"/>
      <c r="N134" s="117" t="s">
        <v>76</v>
      </c>
      <c r="O134" s="6"/>
    </row>
    <row r="135" spans="1:15" s="25" customFormat="1" ht="24" customHeight="1">
      <c r="A135" s="22" t="s">
        <v>236</v>
      </c>
      <c r="B135" s="40"/>
      <c r="C135" s="9" t="s">
        <v>203</v>
      </c>
      <c r="D135" s="9" t="s">
        <v>81</v>
      </c>
      <c r="E135" s="9" t="s">
        <v>108</v>
      </c>
      <c r="F135" s="9" t="s">
        <v>205</v>
      </c>
      <c r="G135" s="9" t="s">
        <v>123</v>
      </c>
      <c r="H135" s="126">
        <f t="shared" si="6"/>
        <v>10000</v>
      </c>
      <c r="I135" s="107" t="s">
        <v>76</v>
      </c>
      <c r="J135" s="78"/>
      <c r="K135" s="121">
        <v>10000</v>
      </c>
      <c r="L135" s="107"/>
      <c r="M135" s="107"/>
      <c r="N135" s="107" t="s">
        <v>76</v>
      </c>
      <c r="O135" s="6"/>
    </row>
    <row r="136" spans="1:15" s="25" customFormat="1" ht="12.75" hidden="1">
      <c r="A136" s="75" t="s">
        <v>226</v>
      </c>
      <c r="B136" s="58"/>
      <c r="C136" s="42" t="s">
        <v>23</v>
      </c>
      <c r="D136" s="42"/>
      <c r="E136" s="42"/>
      <c r="F136" s="42"/>
      <c r="G136" s="42"/>
      <c r="H136" s="125">
        <f t="shared" si="6"/>
        <v>0</v>
      </c>
      <c r="I136" s="119"/>
      <c r="J136" s="98"/>
      <c r="K136" s="97">
        <f>K137</f>
        <v>0</v>
      </c>
      <c r="L136" s="119"/>
      <c r="M136" s="119"/>
      <c r="N136" s="119"/>
      <c r="O136" s="6"/>
    </row>
    <row r="137" spans="1:15" s="25" customFormat="1" ht="12.75" hidden="1">
      <c r="A137" s="76" t="s">
        <v>227</v>
      </c>
      <c r="B137" s="57"/>
      <c r="C137" s="9" t="s">
        <v>23</v>
      </c>
      <c r="D137" s="9" t="s">
        <v>228</v>
      </c>
      <c r="E137" s="9" t="s">
        <v>157</v>
      </c>
      <c r="F137" s="9" t="s">
        <v>116</v>
      </c>
      <c r="G137" s="9" t="s">
        <v>115</v>
      </c>
      <c r="H137" s="129">
        <f t="shared" si="6"/>
        <v>0</v>
      </c>
      <c r="I137" s="107"/>
      <c r="J137" s="26"/>
      <c r="K137" s="78"/>
      <c r="L137" s="107"/>
      <c r="M137" s="107"/>
      <c r="N137" s="107"/>
      <c r="O137" s="6"/>
    </row>
    <row r="138" spans="1:15" s="25" customFormat="1" ht="12.75" hidden="1">
      <c r="A138" s="77" t="s">
        <v>231</v>
      </c>
      <c r="B138" s="58"/>
      <c r="C138" s="87" t="s">
        <v>230</v>
      </c>
      <c r="D138" s="53"/>
      <c r="E138" s="53"/>
      <c r="F138" s="53"/>
      <c r="G138" s="53"/>
      <c r="H138" s="124">
        <f>K138</f>
        <v>0</v>
      </c>
      <c r="I138" s="119"/>
      <c r="J138" s="97"/>
      <c r="K138" s="98">
        <f>K139</f>
        <v>0</v>
      </c>
      <c r="L138" s="119"/>
      <c r="M138" s="119"/>
      <c r="N138" s="119"/>
      <c r="O138" s="6"/>
    </row>
    <row r="139" spans="1:15" s="25" customFormat="1" ht="12.75" hidden="1">
      <c r="A139" s="22" t="s">
        <v>227</v>
      </c>
      <c r="B139" s="57"/>
      <c r="C139" s="9" t="s">
        <v>230</v>
      </c>
      <c r="D139" s="9" t="s">
        <v>81</v>
      </c>
      <c r="E139" s="9" t="s">
        <v>232</v>
      </c>
      <c r="F139" s="9" t="s">
        <v>116</v>
      </c>
      <c r="G139" s="9" t="s">
        <v>115</v>
      </c>
      <c r="H139" s="126">
        <f>K139</f>
        <v>0</v>
      </c>
      <c r="I139" s="107"/>
      <c r="J139" s="78"/>
      <c r="K139" s="26"/>
      <c r="L139" s="107"/>
      <c r="M139" s="107"/>
      <c r="N139" s="107"/>
      <c r="O139" s="6"/>
    </row>
    <row r="140" spans="1:15" s="25" customFormat="1" ht="29.25" customHeight="1">
      <c r="A140" s="681" t="s">
        <v>224</v>
      </c>
      <c r="B140" s="682"/>
      <c r="C140" s="27" t="s">
        <v>80</v>
      </c>
      <c r="D140" s="3"/>
      <c r="E140" s="3"/>
      <c r="F140" s="3"/>
      <c r="G140" s="3"/>
      <c r="H140" s="124">
        <f>N140</f>
        <v>99500.00000000001</v>
      </c>
      <c r="I140" s="119"/>
      <c r="J140" s="119"/>
      <c r="K140" s="119"/>
      <c r="L140" s="119"/>
      <c r="M140" s="119"/>
      <c r="N140" s="97">
        <f>SUM(N141:N150)</f>
        <v>99500.00000000001</v>
      </c>
      <c r="O140" s="6"/>
    </row>
    <row r="141" spans="1:15" s="25" customFormat="1" ht="13.5" customHeight="1" hidden="1">
      <c r="A141" s="45" t="s">
        <v>8</v>
      </c>
      <c r="B141" s="8"/>
      <c r="C141" s="9" t="s">
        <v>80</v>
      </c>
      <c r="D141" s="9" t="s">
        <v>81</v>
      </c>
      <c r="E141" s="9" t="s">
        <v>108</v>
      </c>
      <c r="F141" s="9" t="s">
        <v>128</v>
      </c>
      <c r="G141" s="9" t="s">
        <v>115</v>
      </c>
      <c r="H141" s="126">
        <f aca="true" t="shared" si="7" ref="H141:H148">N141</f>
        <v>0</v>
      </c>
      <c r="I141" s="107" t="s">
        <v>76</v>
      </c>
      <c r="J141" s="107" t="s">
        <v>76</v>
      </c>
      <c r="K141" s="107" t="s">
        <v>76</v>
      </c>
      <c r="L141" s="107" t="s">
        <v>76</v>
      </c>
      <c r="M141" s="107"/>
      <c r="N141" s="122"/>
      <c r="O141" s="6"/>
    </row>
    <row r="142" spans="1:15" s="25" customFormat="1" ht="13.5" customHeight="1" hidden="1">
      <c r="A142" s="22" t="s">
        <v>11</v>
      </c>
      <c r="B142" s="9"/>
      <c r="C142" s="9" t="s">
        <v>80</v>
      </c>
      <c r="D142" s="9" t="s">
        <v>81</v>
      </c>
      <c r="E142" s="9" t="s">
        <v>108</v>
      </c>
      <c r="F142" s="9" t="s">
        <v>121</v>
      </c>
      <c r="G142" s="9" t="s">
        <v>115</v>
      </c>
      <c r="H142" s="126">
        <f t="shared" si="7"/>
        <v>0</v>
      </c>
      <c r="I142" s="107" t="s">
        <v>76</v>
      </c>
      <c r="J142" s="107" t="s">
        <v>76</v>
      </c>
      <c r="K142" s="107" t="s">
        <v>76</v>
      </c>
      <c r="L142" s="107" t="s">
        <v>76</v>
      </c>
      <c r="M142" s="107"/>
      <c r="N142" s="122"/>
      <c r="O142" s="6"/>
    </row>
    <row r="143" spans="1:15" s="25" customFormat="1" ht="13.5" customHeight="1">
      <c r="A143" s="22" t="s">
        <v>11</v>
      </c>
      <c r="B143" s="9"/>
      <c r="C143" s="9" t="s">
        <v>80</v>
      </c>
      <c r="D143" s="9" t="s">
        <v>81</v>
      </c>
      <c r="E143" s="9" t="s">
        <v>218</v>
      </c>
      <c r="F143" s="9" t="s">
        <v>121</v>
      </c>
      <c r="G143" s="9" t="s">
        <v>115</v>
      </c>
      <c r="H143" s="126">
        <f>N143</f>
        <v>2815.2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 t="s">
        <v>76</v>
      </c>
      <c r="N143" s="78">
        <v>2815.2</v>
      </c>
      <c r="O143" s="6"/>
    </row>
    <row r="144" spans="1:15" s="25" customFormat="1" ht="13.5" customHeight="1">
      <c r="A144" s="22" t="s">
        <v>12</v>
      </c>
      <c r="B144" s="9"/>
      <c r="C144" s="9" t="s">
        <v>80</v>
      </c>
      <c r="D144" s="9" t="s">
        <v>81</v>
      </c>
      <c r="E144" s="9" t="s">
        <v>218</v>
      </c>
      <c r="F144" s="9" t="s">
        <v>116</v>
      </c>
      <c r="G144" s="9" t="s">
        <v>115</v>
      </c>
      <c r="H144" s="126">
        <f t="shared" si="7"/>
        <v>13427.57</v>
      </c>
      <c r="I144" s="107" t="s">
        <v>76</v>
      </c>
      <c r="J144" s="107"/>
      <c r="K144" s="107" t="s">
        <v>76</v>
      </c>
      <c r="L144" s="107" t="s">
        <v>76</v>
      </c>
      <c r="M144" s="107"/>
      <c r="N144" s="433">
        <v>13427.57</v>
      </c>
      <c r="O144" s="6"/>
    </row>
    <row r="145" spans="1:15" s="25" customFormat="1" ht="13.5" customHeight="1">
      <c r="A145" s="22" t="s">
        <v>362</v>
      </c>
      <c r="B145" s="9"/>
      <c r="C145" s="9" t="s">
        <v>80</v>
      </c>
      <c r="D145" s="9" t="s">
        <v>81</v>
      </c>
      <c r="E145" s="9" t="s">
        <v>218</v>
      </c>
      <c r="F145" s="9" t="s">
        <v>361</v>
      </c>
      <c r="G145" s="9" t="s">
        <v>115</v>
      </c>
      <c r="H145" s="126">
        <f t="shared" si="7"/>
        <v>3408.3</v>
      </c>
      <c r="I145" s="107"/>
      <c r="J145" s="107"/>
      <c r="K145" s="107"/>
      <c r="L145" s="107"/>
      <c r="M145" s="107"/>
      <c r="N145" s="433">
        <v>3408.3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108</v>
      </c>
      <c r="F146" s="9" t="s">
        <v>116</v>
      </c>
      <c r="G146" s="9" t="s">
        <v>115</v>
      </c>
      <c r="H146" s="126">
        <f>N146</f>
        <v>30000</v>
      </c>
      <c r="I146" s="107" t="s">
        <v>76</v>
      </c>
      <c r="J146" s="107" t="s">
        <v>76</v>
      </c>
      <c r="K146" s="107" t="s">
        <v>76</v>
      </c>
      <c r="L146" s="107" t="s">
        <v>76</v>
      </c>
      <c r="M146" s="107" t="s">
        <v>76</v>
      </c>
      <c r="N146" s="78">
        <v>30000</v>
      </c>
      <c r="O146" s="6"/>
    </row>
    <row r="147" spans="1:15" s="25" customFormat="1" ht="13.5" customHeight="1">
      <c r="A147" s="22" t="s">
        <v>14</v>
      </c>
      <c r="B147" s="9"/>
      <c r="C147" s="9" t="s">
        <v>80</v>
      </c>
      <c r="D147" s="9" t="s">
        <v>81</v>
      </c>
      <c r="E147" s="9" t="s">
        <v>108</v>
      </c>
      <c r="F147" s="9" t="s">
        <v>118</v>
      </c>
      <c r="G147" s="9" t="s">
        <v>115</v>
      </c>
      <c r="H147" s="126">
        <f t="shared" si="7"/>
        <v>35000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/>
      <c r="N147" s="122">
        <v>35000</v>
      </c>
      <c r="O147" s="6"/>
    </row>
    <row r="148" spans="1:15" s="25" customFormat="1" ht="39" customHeight="1">
      <c r="A148" s="22" t="s">
        <v>363</v>
      </c>
      <c r="B148" s="9"/>
      <c r="C148" s="9" t="s">
        <v>80</v>
      </c>
      <c r="D148" s="9" t="s">
        <v>81</v>
      </c>
      <c r="E148" s="9" t="s">
        <v>218</v>
      </c>
      <c r="F148" s="9" t="s">
        <v>240</v>
      </c>
      <c r="G148" s="9" t="s">
        <v>115</v>
      </c>
      <c r="H148" s="126">
        <f t="shared" si="7"/>
        <v>3937.5</v>
      </c>
      <c r="I148" s="107" t="s">
        <v>76</v>
      </c>
      <c r="J148" s="107"/>
      <c r="K148" s="107" t="s">
        <v>76</v>
      </c>
      <c r="L148" s="107" t="s">
        <v>76</v>
      </c>
      <c r="M148" s="107"/>
      <c r="N148" s="99">
        <v>3937.5</v>
      </c>
      <c r="O148" s="6"/>
    </row>
    <row r="149" spans="1:15" s="25" customFormat="1" ht="30.75" customHeight="1">
      <c r="A149" s="431" t="s">
        <v>364</v>
      </c>
      <c r="B149" s="20"/>
      <c r="C149" s="9" t="s">
        <v>80</v>
      </c>
      <c r="D149" s="9" t="s">
        <v>81</v>
      </c>
      <c r="E149" s="9" t="s">
        <v>218</v>
      </c>
      <c r="F149" s="9" t="s">
        <v>242</v>
      </c>
      <c r="G149" s="9" t="s">
        <v>115</v>
      </c>
      <c r="H149" s="126">
        <f>N149</f>
        <v>7087.63</v>
      </c>
      <c r="I149" s="107" t="s">
        <v>76</v>
      </c>
      <c r="J149" s="108"/>
      <c r="K149" s="107" t="s">
        <v>76</v>
      </c>
      <c r="L149" s="108"/>
      <c r="M149" s="108"/>
      <c r="N149" s="78">
        <v>7087.63</v>
      </c>
      <c r="O149" s="6"/>
    </row>
    <row r="150" spans="1:15" s="25" customFormat="1" ht="30.75" customHeight="1">
      <c r="A150" s="431" t="s">
        <v>243</v>
      </c>
      <c r="B150" s="20"/>
      <c r="C150" s="9" t="s">
        <v>80</v>
      </c>
      <c r="D150" s="9" t="s">
        <v>81</v>
      </c>
      <c r="E150" s="9" t="s">
        <v>218</v>
      </c>
      <c r="F150" s="9" t="s">
        <v>244</v>
      </c>
      <c r="G150" s="9" t="s">
        <v>115</v>
      </c>
      <c r="H150" s="126">
        <f>N150</f>
        <v>3823.8</v>
      </c>
      <c r="I150" s="107"/>
      <c r="J150" s="108"/>
      <c r="K150" s="107"/>
      <c r="L150" s="108"/>
      <c r="M150" s="108"/>
      <c r="N150" s="78">
        <v>3823.8</v>
      </c>
      <c r="O150" s="6"/>
    </row>
    <row r="151" spans="1:15" s="25" customFormat="1" ht="27">
      <c r="A151" s="96" t="s">
        <v>129</v>
      </c>
      <c r="B151" s="32" t="s">
        <v>130</v>
      </c>
      <c r="C151" s="33" t="s">
        <v>76</v>
      </c>
      <c r="D151" s="33" t="s">
        <v>76</v>
      </c>
      <c r="E151" s="33" t="s">
        <v>76</v>
      </c>
      <c r="F151" s="33" t="s">
        <v>76</v>
      </c>
      <c r="G151" s="33" t="s">
        <v>76</v>
      </c>
      <c r="H151" s="130">
        <f>I151+N151+K151</f>
        <v>16689700</v>
      </c>
      <c r="I151" s="130">
        <f>I55+I58+I85+I86+I56+I70</f>
        <v>16679700</v>
      </c>
      <c r="J151" s="130"/>
      <c r="K151" s="130">
        <f>K135</f>
        <v>10000</v>
      </c>
      <c r="L151" s="134" t="s">
        <v>76</v>
      </c>
      <c r="M151" s="134" t="s">
        <v>76</v>
      </c>
      <c r="N151" s="130"/>
      <c r="O151" s="6" t="s">
        <v>76</v>
      </c>
    </row>
    <row r="152" spans="1:15" s="25" customFormat="1" ht="27">
      <c r="A152" s="96" t="s">
        <v>131</v>
      </c>
      <c r="B152" s="32" t="s">
        <v>132</v>
      </c>
      <c r="C152" s="33" t="s">
        <v>76</v>
      </c>
      <c r="D152" s="33" t="s">
        <v>76</v>
      </c>
      <c r="E152" s="33" t="s">
        <v>76</v>
      </c>
      <c r="F152" s="33" t="s">
        <v>76</v>
      </c>
      <c r="G152" s="33" t="s">
        <v>76</v>
      </c>
      <c r="H152" s="130">
        <f>H154+H153</f>
        <v>7280904.2</v>
      </c>
      <c r="I152" s="130">
        <f>I154+I153</f>
        <v>5028739</v>
      </c>
      <c r="J152" s="130">
        <f>J154+J153</f>
        <v>0</v>
      </c>
      <c r="K152" s="130">
        <f>K154+K153</f>
        <v>2152665.2</v>
      </c>
      <c r="L152" s="134"/>
      <c r="M152" s="134"/>
      <c r="N152" s="130">
        <f>N154+N153</f>
        <v>99500</v>
      </c>
      <c r="O152" s="6"/>
    </row>
    <row r="153" spans="1:15" s="25" customFormat="1" ht="24" customHeight="1">
      <c r="A153" s="96" t="s">
        <v>133</v>
      </c>
      <c r="B153" s="32" t="s">
        <v>134</v>
      </c>
      <c r="C153" s="33" t="s">
        <v>76</v>
      </c>
      <c r="D153" s="33" t="s">
        <v>76</v>
      </c>
      <c r="E153" s="33" t="s">
        <v>76</v>
      </c>
      <c r="F153" s="33" t="s">
        <v>76</v>
      </c>
      <c r="G153" s="33" t="s">
        <v>76</v>
      </c>
      <c r="H153" s="130">
        <f>I153+N153+K153</f>
        <v>0</v>
      </c>
      <c r="I153" s="130"/>
      <c r="J153" s="130"/>
      <c r="K153" s="130">
        <v>0</v>
      </c>
      <c r="L153" s="134"/>
      <c r="M153" s="134"/>
      <c r="N153" s="130">
        <v>0</v>
      </c>
      <c r="O153" s="6"/>
    </row>
    <row r="154" spans="1:15" s="25" customFormat="1" ht="12.75" customHeight="1">
      <c r="A154" s="96" t="s">
        <v>135</v>
      </c>
      <c r="B154" s="32" t="s">
        <v>136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7280904.2</v>
      </c>
      <c r="I154" s="130">
        <f>I60+I65+I66+I67+I68+I71+I76+I77+I79+I81+I82+I83+I84+I95+I90+I91+I72+I73+I74+I75+I92+I80</f>
        <v>5028739</v>
      </c>
      <c r="J154" s="130"/>
      <c r="K154" s="130">
        <f>K99+K103+K132+K133+K117+K118+K119+K125+K127+K111+K112+K113+K114+K110+K137+K139+K124+K120+K121+K122+K105+K106++K107+K108</f>
        <v>2152665.2</v>
      </c>
      <c r="L154" s="134" t="s">
        <v>76</v>
      </c>
      <c r="M154" s="134" t="s">
        <v>76</v>
      </c>
      <c r="N154" s="130">
        <f>N141+N142+N144+N147+N148+N143+N146+N149+N145+N150</f>
        <v>99500</v>
      </c>
      <c r="O154" s="6" t="s">
        <v>76</v>
      </c>
    </row>
    <row r="155" spans="1:15" s="25" customFormat="1" ht="13.5" hidden="1">
      <c r="A155" s="8" t="s">
        <v>137</v>
      </c>
      <c r="B155" s="9" t="s">
        <v>138</v>
      </c>
      <c r="C155" s="34" t="s">
        <v>76</v>
      </c>
      <c r="D155" s="34" t="s">
        <v>76</v>
      </c>
      <c r="E155" s="34" t="s">
        <v>76</v>
      </c>
      <c r="F155" s="34" t="s">
        <v>76</v>
      </c>
      <c r="G155" s="34" t="s">
        <v>76</v>
      </c>
      <c r="H155" s="126">
        <f>I155+N155</f>
        <v>0</v>
      </c>
      <c r="I155" s="126">
        <v>0</v>
      </c>
      <c r="J155" s="126"/>
      <c r="K155" s="126"/>
      <c r="L155" s="135" t="s">
        <v>76</v>
      </c>
      <c r="M155" s="135" t="s">
        <v>76</v>
      </c>
      <c r="N155" s="126">
        <v>0</v>
      </c>
      <c r="O155" s="6" t="s">
        <v>76</v>
      </c>
    </row>
    <row r="156" spans="1:15" s="25" customFormat="1" ht="13.5" hidden="1">
      <c r="A156" s="20" t="s">
        <v>139</v>
      </c>
      <c r="B156" s="9" t="s">
        <v>118</v>
      </c>
      <c r="C156" s="34" t="s">
        <v>76</v>
      </c>
      <c r="D156" s="34" t="s">
        <v>76</v>
      </c>
      <c r="E156" s="34" t="s">
        <v>76</v>
      </c>
      <c r="F156" s="34" t="s">
        <v>76</v>
      </c>
      <c r="G156" s="34" t="s">
        <v>76</v>
      </c>
      <c r="H156" s="126">
        <v>0</v>
      </c>
      <c r="I156" s="126">
        <v>0</v>
      </c>
      <c r="J156" s="126"/>
      <c r="K156" s="126"/>
      <c r="L156" s="135" t="s">
        <v>76</v>
      </c>
      <c r="M156" s="135" t="s">
        <v>76</v>
      </c>
      <c r="N156" s="126">
        <v>0</v>
      </c>
      <c r="O156" s="6" t="s">
        <v>76</v>
      </c>
    </row>
    <row r="157" spans="1:15" s="25" customFormat="1" ht="13.5" hidden="1">
      <c r="A157" s="20" t="s">
        <v>140</v>
      </c>
      <c r="B157" s="9" t="s">
        <v>141</v>
      </c>
      <c r="C157" s="34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126">
        <v>0</v>
      </c>
      <c r="I157" s="126">
        <v>0</v>
      </c>
      <c r="J157" s="126"/>
      <c r="K157" s="126"/>
      <c r="L157" s="135" t="s">
        <v>76</v>
      </c>
      <c r="M157" s="135" t="s">
        <v>76</v>
      </c>
      <c r="N157" s="126">
        <v>0</v>
      </c>
      <c r="O157" s="6" t="s">
        <v>76</v>
      </c>
    </row>
    <row r="158" spans="1:15" s="25" customFormat="1" ht="13.5" hidden="1">
      <c r="A158" s="20" t="s">
        <v>142</v>
      </c>
      <c r="B158" s="9" t="s">
        <v>143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144</v>
      </c>
      <c r="B159" s="9" t="s">
        <v>145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146</v>
      </c>
      <c r="B160" s="9" t="s">
        <v>147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>
      <c r="A161" s="48" t="s">
        <v>137</v>
      </c>
      <c r="B161" s="49" t="s">
        <v>138</v>
      </c>
      <c r="C161" s="50" t="s">
        <v>173</v>
      </c>
      <c r="D161" s="49" t="s">
        <v>81</v>
      </c>
      <c r="E161" s="50" t="s">
        <v>174</v>
      </c>
      <c r="F161" s="50" t="s">
        <v>174</v>
      </c>
      <c r="G161" s="50" t="s">
        <v>175</v>
      </c>
      <c r="H161" s="132">
        <v>28653.9</v>
      </c>
      <c r="I161" s="136"/>
      <c r="J161" s="136"/>
      <c r="K161" s="136"/>
      <c r="L161" s="137"/>
      <c r="M161" s="137"/>
      <c r="N161" s="136"/>
      <c r="O161" s="6"/>
    </row>
    <row r="162" spans="1:15" s="25" customFormat="1" ht="13.5">
      <c r="A162" s="51" t="s">
        <v>142</v>
      </c>
      <c r="B162" s="49" t="s">
        <v>143</v>
      </c>
      <c r="C162" s="50" t="s">
        <v>173</v>
      </c>
      <c r="D162" s="49" t="s">
        <v>81</v>
      </c>
      <c r="E162" s="50" t="s">
        <v>174</v>
      </c>
      <c r="F162" s="50" t="s">
        <v>174</v>
      </c>
      <c r="G162" s="50" t="s">
        <v>176</v>
      </c>
      <c r="H162" s="132">
        <v>28653.9</v>
      </c>
      <c r="I162" s="136"/>
      <c r="J162" s="136"/>
      <c r="K162" s="136"/>
      <c r="L162" s="137"/>
      <c r="M162" s="137"/>
      <c r="N162" s="136"/>
      <c r="O162" s="6"/>
    </row>
    <row r="163" spans="1:15" s="25" customFormat="1" ht="13.5">
      <c r="A163" s="35" t="s">
        <v>148</v>
      </c>
      <c r="B163" s="36" t="s">
        <v>149</v>
      </c>
      <c r="C163" s="37" t="s">
        <v>76</v>
      </c>
      <c r="D163" s="37" t="s">
        <v>76</v>
      </c>
      <c r="E163" s="37" t="s">
        <v>76</v>
      </c>
      <c r="F163" s="37" t="s">
        <v>76</v>
      </c>
      <c r="G163" s="37" t="s">
        <v>76</v>
      </c>
      <c r="H163" s="133">
        <f>I163+K163+N163</f>
        <v>0</v>
      </c>
      <c r="I163" s="133">
        <v>0</v>
      </c>
      <c r="J163" s="133"/>
      <c r="K163" s="133"/>
      <c r="L163" s="138" t="s">
        <v>76</v>
      </c>
      <c r="M163" s="138" t="s">
        <v>76</v>
      </c>
      <c r="N163" s="133"/>
      <c r="O163" s="6" t="s">
        <v>76</v>
      </c>
    </row>
    <row r="164" spans="1:15" s="25" customFormat="1" ht="13.5">
      <c r="A164" s="20" t="s">
        <v>150</v>
      </c>
      <c r="B164" s="9" t="s">
        <v>151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6" ht="12.75">
      <c r="A166" s="88" t="s">
        <v>271</v>
      </c>
    </row>
    <row r="167" ht="12.75">
      <c r="A167" s="88"/>
    </row>
    <row r="168" ht="19.5" customHeight="1">
      <c r="A168" s="88" t="s">
        <v>17</v>
      </c>
    </row>
    <row r="169" ht="12.75">
      <c r="A169" s="88" t="s">
        <v>272</v>
      </c>
    </row>
    <row r="170" ht="12.75">
      <c r="A170" s="88"/>
    </row>
    <row r="171" ht="13.5" customHeight="1">
      <c r="A171" s="89"/>
    </row>
    <row r="172" ht="13.5" customHeight="1">
      <c r="A172" s="89"/>
    </row>
    <row r="173" ht="12.75" customHeight="1">
      <c r="A173" s="89"/>
    </row>
    <row r="174" ht="12.75" customHeight="1">
      <c r="A174" s="89"/>
    </row>
    <row r="175" ht="12.7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</sheetData>
  <sheetProtection/>
  <mergeCells count="83">
    <mergeCell ref="A1:O1"/>
    <mergeCell ref="B2:M2"/>
    <mergeCell ref="N2:O2"/>
    <mergeCell ref="A4:A6"/>
    <mergeCell ref="B4:B6"/>
    <mergeCell ref="H4:O4"/>
    <mergeCell ref="E11:E13"/>
    <mergeCell ref="F11:F13"/>
    <mergeCell ref="F16:F17"/>
    <mergeCell ref="F18:F22"/>
    <mergeCell ref="B15:B22"/>
    <mergeCell ref="I5:O5"/>
    <mergeCell ref="N6:O6"/>
    <mergeCell ref="G4:G6"/>
    <mergeCell ref="G16:G17"/>
    <mergeCell ref="J15:J16"/>
    <mergeCell ref="A16:A17"/>
    <mergeCell ref="C16:C17"/>
    <mergeCell ref="E16:E17"/>
    <mergeCell ref="A44:A45"/>
    <mergeCell ref="C44:C45"/>
    <mergeCell ref="C18:C22"/>
    <mergeCell ref="A18:A22"/>
    <mergeCell ref="A54:B54"/>
    <mergeCell ref="H5:H6"/>
    <mergeCell ref="E4:E6"/>
    <mergeCell ref="F4:F6"/>
    <mergeCell ref="B10:B14"/>
    <mergeCell ref="C11:C13"/>
    <mergeCell ref="A29:A34"/>
    <mergeCell ref="F30:F34"/>
    <mergeCell ref="C4:C6"/>
    <mergeCell ref="D4:D6"/>
    <mergeCell ref="C76:C77"/>
    <mergeCell ref="A35:A38"/>
    <mergeCell ref="C35:C38"/>
    <mergeCell ref="F44:F45"/>
    <mergeCell ref="F60:F65"/>
    <mergeCell ref="A60:A65"/>
    <mergeCell ref="C60:C65"/>
    <mergeCell ref="A39:A41"/>
    <mergeCell ref="C39:C41"/>
    <mergeCell ref="F39:F41"/>
    <mergeCell ref="G81:G82"/>
    <mergeCell ref="A83:A84"/>
    <mergeCell ref="A78:B78"/>
    <mergeCell ref="A81:A82"/>
    <mergeCell ref="C81:C82"/>
    <mergeCell ref="F81:F82"/>
    <mergeCell ref="E81:E82"/>
    <mergeCell ref="G76:G77"/>
    <mergeCell ref="A67:A68"/>
    <mergeCell ref="C67:C68"/>
    <mergeCell ref="E67:E68"/>
    <mergeCell ref="F67:F68"/>
    <mergeCell ref="F76:F77"/>
    <mergeCell ref="E71:E72"/>
    <mergeCell ref="E76:E77"/>
    <mergeCell ref="G67:G68"/>
    <mergeCell ref="A76:A77"/>
    <mergeCell ref="A104:B104"/>
    <mergeCell ref="F117:F119"/>
    <mergeCell ref="A117:A119"/>
    <mergeCell ref="G83:G84"/>
    <mergeCell ref="C83:C84"/>
    <mergeCell ref="A96:B96"/>
    <mergeCell ref="A100:B100"/>
    <mergeCell ref="E83:E84"/>
    <mergeCell ref="F83:F84"/>
    <mergeCell ref="G124:G125"/>
    <mergeCell ref="F124:F125"/>
    <mergeCell ref="E124:E125"/>
    <mergeCell ref="A109:B109"/>
    <mergeCell ref="E117:E119"/>
    <mergeCell ref="A115:B115"/>
    <mergeCell ref="G117:G119"/>
    <mergeCell ref="A140:B140"/>
    <mergeCell ref="C117:C119"/>
    <mergeCell ref="A131:B131"/>
    <mergeCell ref="A129:B129"/>
    <mergeCell ref="A126:B126"/>
    <mergeCell ref="A124:A125"/>
    <mergeCell ref="C124:C1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PageLayoutView="0" workbookViewId="0" topLeftCell="A38">
      <selection activeCell="F76" sqref="F76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426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23996304.7</v>
      </c>
      <c r="I9" s="124">
        <f>I15</f>
        <v>21708439</v>
      </c>
      <c r="J9" s="124"/>
      <c r="K9" s="124">
        <f>K23</f>
        <v>2188365.7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21708439</v>
      </c>
      <c r="I15" s="78">
        <f>I16+I18+I19+I17+I22</f>
        <v>21708439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126">
        <f t="shared" si="0"/>
        <v>17351100</v>
      </c>
      <c r="I17" s="359">
        <f>16689500+661600</f>
        <v>17351100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2188365.7</v>
      </c>
      <c r="I23" s="102" t="s">
        <v>76</v>
      </c>
      <c r="J23" s="100"/>
      <c r="K23" s="100">
        <f>SUM(K24:K47)</f>
        <v>2188365.7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6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 hidden="1">
      <c r="A30" s="700"/>
      <c r="B30" s="62"/>
      <c r="C30" s="63" t="s">
        <v>50</v>
      </c>
      <c r="D30" s="393" t="s">
        <v>332</v>
      </c>
      <c r="E30" s="20"/>
      <c r="F30" s="695" t="s">
        <v>284</v>
      </c>
      <c r="G30" s="9"/>
      <c r="H30" s="25"/>
      <c r="I30" s="107" t="s">
        <v>76</v>
      </c>
      <c r="J30" s="108"/>
      <c r="K30" s="109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393" t="s">
        <v>214</v>
      </c>
      <c r="E31" s="9"/>
      <c r="F31" s="695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333</v>
      </c>
      <c r="E32" s="9"/>
      <c r="F32" s="695"/>
      <c r="G32" s="9"/>
      <c r="H32" s="126">
        <f aca="true" t="shared" si="1" ref="H32:H47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216</v>
      </c>
      <c r="E33" s="9"/>
      <c r="F33" s="695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5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>
      <c r="A35" s="741" t="s">
        <v>372</v>
      </c>
      <c r="B35" s="60"/>
      <c r="C35" s="693" t="s">
        <v>373</v>
      </c>
      <c r="D35" s="434" t="s">
        <v>332</v>
      </c>
      <c r="E35" s="9"/>
      <c r="F35" s="6" t="s">
        <v>284</v>
      </c>
      <c r="G35" s="9"/>
      <c r="H35" s="126">
        <f t="shared" si="1"/>
        <v>43200</v>
      </c>
      <c r="I35" s="107"/>
      <c r="J35" s="78"/>
      <c r="K35" s="78">
        <v>43200</v>
      </c>
      <c r="L35" s="26"/>
      <c r="M35" s="26"/>
      <c r="N35" s="107"/>
      <c r="O35" s="7"/>
    </row>
    <row r="36" spans="1:15" ht="12.75" customHeight="1">
      <c r="A36" s="742"/>
      <c r="B36" s="60"/>
      <c r="C36" s="697"/>
      <c r="D36" s="434" t="s">
        <v>214</v>
      </c>
      <c r="E36" s="9"/>
      <c r="F36" s="6" t="s">
        <v>284</v>
      </c>
      <c r="G36" s="9"/>
      <c r="H36" s="126">
        <f t="shared" si="1"/>
        <v>4800</v>
      </c>
      <c r="I36" s="107"/>
      <c r="J36" s="78"/>
      <c r="K36" s="78">
        <v>4800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333</v>
      </c>
      <c r="E37" s="9"/>
      <c r="F37" s="6" t="s">
        <v>284</v>
      </c>
      <c r="G37" s="9"/>
      <c r="H37" s="126">
        <f t="shared" si="1"/>
        <v>10800</v>
      </c>
      <c r="I37" s="107"/>
      <c r="J37" s="78"/>
      <c r="K37" s="78">
        <v>10800</v>
      </c>
      <c r="L37" s="26"/>
      <c r="M37" s="26"/>
      <c r="N37" s="107"/>
      <c r="O37" s="7"/>
    </row>
    <row r="38" spans="1:15" ht="12.75" customHeight="1">
      <c r="A38" s="743"/>
      <c r="B38" s="60"/>
      <c r="C38" s="694"/>
      <c r="D38" s="434" t="s">
        <v>216</v>
      </c>
      <c r="E38" s="9"/>
      <c r="F38" s="6" t="s">
        <v>284</v>
      </c>
      <c r="G38" s="9"/>
      <c r="H38" s="126">
        <f t="shared" si="1"/>
        <v>1200</v>
      </c>
      <c r="I38" s="107"/>
      <c r="J38" s="78"/>
      <c r="K38" s="78">
        <v>1200</v>
      </c>
      <c r="L38" s="26"/>
      <c r="M38" s="26"/>
      <c r="N38" s="107"/>
      <c r="O38" s="7"/>
    </row>
    <row r="39" spans="1:15" ht="12.75">
      <c r="A39" s="711" t="s">
        <v>155</v>
      </c>
      <c r="B39" s="62"/>
      <c r="C39" s="698" t="s">
        <v>51</v>
      </c>
      <c r="D39" s="6" t="s">
        <v>81</v>
      </c>
      <c r="E39" s="9"/>
      <c r="F39" s="693" t="s">
        <v>284</v>
      </c>
      <c r="G39" s="9"/>
      <c r="H39" s="126">
        <f t="shared" si="1"/>
        <v>201123.7</v>
      </c>
      <c r="I39" s="107" t="s">
        <v>76</v>
      </c>
      <c r="J39" s="78"/>
      <c r="K39" s="363">
        <f>195152.7+2985.5+2985.5</f>
        <v>201123.7</v>
      </c>
      <c r="L39" s="26"/>
      <c r="M39" s="26"/>
      <c r="N39" s="107" t="s">
        <v>76</v>
      </c>
      <c r="O39" s="7"/>
    </row>
    <row r="40" spans="1:21" ht="12.75">
      <c r="A40" s="711"/>
      <c r="B40" s="62"/>
      <c r="C40" s="698"/>
      <c r="D40" s="6" t="s">
        <v>166</v>
      </c>
      <c r="E40" s="9"/>
      <c r="F40" s="697"/>
      <c r="G40" s="9"/>
      <c r="H40" s="126">
        <f t="shared" si="1"/>
        <v>188911.8</v>
      </c>
      <c r="I40" s="107" t="s">
        <v>76</v>
      </c>
      <c r="J40" s="78"/>
      <c r="K40" s="363">
        <f>148024.8+20443.5+20443.5</f>
        <v>188911.8</v>
      </c>
      <c r="L40" s="26"/>
      <c r="M40" s="26"/>
      <c r="N40" s="107" t="s">
        <v>76</v>
      </c>
      <c r="O40" s="7"/>
      <c r="U40" s="392"/>
    </row>
    <row r="41" spans="1:15" ht="12.75">
      <c r="A41" s="711"/>
      <c r="B41" s="62"/>
      <c r="C41" s="698"/>
      <c r="D41" s="9" t="s">
        <v>196</v>
      </c>
      <c r="E41" s="9"/>
      <c r="F41" s="694"/>
      <c r="G41" s="9"/>
      <c r="H41" s="126">
        <f t="shared" si="1"/>
        <v>20990.2</v>
      </c>
      <c r="I41" s="107" t="s">
        <v>76</v>
      </c>
      <c r="J41" s="78"/>
      <c r="K41" s="363">
        <f>16447.2+2271.5+2271.5</f>
        <v>20990.2</v>
      </c>
      <c r="L41" s="26"/>
      <c r="M41" s="26"/>
      <c r="N41" s="107" t="s">
        <v>76</v>
      </c>
      <c r="O41" s="7"/>
    </row>
    <row r="42" spans="1:15" ht="63.75">
      <c r="A42" s="65" t="s">
        <v>43</v>
      </c>
      <c r="B42" s="66"/>
      <c r="C42" s="368" t="s">
        <v>42</v>
      </c>
      <c r="D42" s="6" t="s">
        <v>162</v>
      </c>
      <c r="E42" s="9"/>
      <c r="F42" s="6" t="s">
        <v>284</v>
      </c>
      <c r="G42" s="9"/>
      <c r="H42" s="126">
        <f t="shared" si="1"/>
        <v>950000</v>
      </c>
      <c r="I42" s="107" t="s">
        <v>76</v>
      </c>
      <c r="J42" s="78"/>
      <c r="K42" s="78">
        <v>950000</v>
      </c>
      <c r="L42" s="26"/>
      <c r="M42" s="26"/>
      <c r="N42" s="107" t="s">
        <v>76</v>
      </c>
      <c r="O42" s="7"/>
    </row>
    <row r="43" spans="1:21" ht="25.5">
      <c r="A43" s="65" t="s">
        <v>225</v>
      </c>
      <c r="B43" s="66"/>
      <c r="C43" s="59" t="s">
        <v>203</v>
      </c>
      <c r="D43" s="59" t="s">
        <v>81</v>
      </c>
      <c r="E43" s="59"/>
      <c r="F43" s="6" t="s">
        <v>284</v>
      </c>
      <c r="G43" s="9"/>
      <c r="H43" s="126">
        <f t="shared" si="1"/>
        <v>10000</v>
      </c>
      <c r="I43" s="107" t="s">
        <v>76</v>
      </c>
      <c r="J43" s="78"/>
      <c r="K43" s="78">
        <v>10000</v>
      </c>
      <c r="L43" s="26"/>
      <c r="M43" s="26"/>
      <c r="N43" s="107" t="s">
        <v>76</v>
      </c>
      <c r="O43" s="7"/>
      <c r="U43" s="469"/>
    </row>
    <row r="44" spans="1:15" ht="21" customHeight="1" hidden="1">
      <c r="A44" s="689" t="s">
        <v>199</v>
      </c>
      <c r="B44" s="66"/>
      <c r="C44" s="690" t="s">
        <v>192</v>
      </c>
      <c r="D44" s="59" t="s">
        <v>193</v>
      </c>
      <c r="E44" s="59"/>
      <c r="F44" s="693" t="s">
        <v>209</v>
      </c>
      <c r="G44" s="9"/>
      <c r="H44" s="126">
        <f t="shared" si="1"/>
        <v>0</v>
      </c>
      <c r="I44" s="107" t="s">
        <v>76</v>
      </c>
      <c r="J44" s="78"/>
      <c r="K44" s="78"/>
      <c r="L44" s="26"/>
      <c r="M44" s="26"/>
      <c r="N44" s="107" t="s">
        <v>76</v>
      </c>
      <c r="O44" s="7"/>
    </row>
    <row r="45" spans="1:15" ht="18" customHeight="1" hidden="1">
      <c r="A45" s="689"/>
      <c r="B45" s="66"/>
      <c r="C45" s="690"/>
      <c r="D45" s="59" t="s">
        <v>196</v>
      </c>
      <c r="E45" s="59"/>
      <c r="F45" s="694"/>
      <c r="G45" s="9"/>
      <c r="H45" s="126">
        <f t="shared" si="1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38.25" hidden="1">
      <c r="A46" s="22" t="s">
        <v>49</v>
      </c>
      <c r="B46" s="6"/>
      <c r="C46" s="6" t="s">
        <v>23</v>
      </c>
      <c r="D46" s="6" t="s">
        <v>228</v>
      </c>
      <c r="E46" s="6"/>
      <c r="F46" s="6" t="s">
        <v>209</v>
      </c>
      <c r="G46" s="6"/>
      <c r="H46" s="129">
        <f t="shared" si="1"/>
        <v>0</v>
      </c>
      <c r="I46" s="26"/>
      <c r="J46" s="26"/>
      <c r="K46" s="78"/>
      <c r="L46" s="26"/>
      <c r="M46" s="26"/>
      <c r="N46" s="26"/>
      <c r="O46" s="7"/>
    </row>
    <row r="47" spans="1:15" ht="22.5" customHeight="1" hidden="1">
      <c r="A47" s="8" t="s">
        <v>229</v>
      </c>
      <c r="B47" s="6"/>
      <c r="C47" s="22" t="s">
        <v>230</v>
      </c>
      <c r="D47" s="6" t="s">
        <v>81</v>
      </c>
      <c r="E47" s="9"/>
      <c r="F47" s="15" t="s">
        <v>209</v>
      </c>
      <c r="G47" s="9"/>
      <c r="H47" s="126">
        <f t="shared" si="1"/>
        <v>0</v>
      </c>
      <c r="I47" s="107"/>
      <c r="J47" s="78"/>
      <c r="K47" s="26"/>
      <c r="L47" s="26"/>
      <c r="M47" s="26"/>
      <c r="N47" s="26"/>
      <c r="O47" s="7"/>
    </row>
    <row r="48" spans="1:21" s="25" customFormat="1" ht="17.25" customHeight="1">
      <c r="A48" s="23" t="s">
        <v>94</v>
      </c>
      <c r="B48" s="24" t="s">
        <v>95</v>
      </c>
      <c r="C48" s="56" t="s">
        <v>76</v>
      </c>
      <c r="D48" s="56" t="s">
        <v>76</v>
      </c>
      <c r="E48" s="56" t="s">
        <v>76</v>
      </c>
      <c r="F48" s="56" t="s">
        <v>76</v>
      </c>
      <c r="G48" s="56" t="s">
        <v>76</v>
      </c>
      <c r="H48" s="130">
        <f>I48+N48+K48</f>
        <v>23996304.7</v>
      </c>
      <c r="I48" s="130">
        <f>I54+I79+I97</f>
        <v>21708439</v>
      </c>
      <c r="J48" s="130"/>
      <c r="K48" s="130">
        <f>K97+K101+K103+K116+K127+K130+K132+K110+K135+K137+K139+K105</f>
        <v>2188365.7</v>
      </c>
      <c r="L48" s="130"/>
      <c r="M48" s="130"/>
      <c r="N48" s="130">
        <f>N141</f>
        <v>99500.00000000001</v>
      </c>
      <c r="O48" s="95"/>
      <c r="U48" s="380"/>
    </row>
    <row r="49" spans="1:15" s="25" customFormat="1" ht="18" customHeight="1">
      <c r="A49" s="8" t="s">
        <v>96</v>
      </c>
      <c r="B49" s="9" t="s">
        <v>97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f>I49+N49</f>
        <v>16594000</v>
      </c>
      <c r="I49" s="78">
        <f>I50+I52</f>
        <v>16594000</v>
      </c>
      <c r="J49" s="78"/>
      <c r="K49" s="78"/>
      <c r="L49" s="78"/>
      <c r="M49" s="78"/>
      <c r="N49" s="78"/>
      <c r="O49" s="7" t="s">
        <v>76</v>
      </c>
    </row>
    <row r="50" spans="1:15" s="25" customFormat="1" ht="25.5">
      <c r="A50" s="22" t="s">
        <v>98</v>
      </c>
      <c r="B50" s="9" t="s">
        <v>99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16594000</v>
      </c>
      <c r="I50" s="78">
        <f>I55+I56+I58+I59</f>
        <v>16594000</v>
      </c>
      <c r="J50" s="78"/>
      <c r="K50" s="78"/>
      <c r="L50" s="78"/>
      <c r="M50" s="78"/>
      <c r="N50" s="78"/>
      <c r="O50" s="7" t="s">
        <v>76</v>
      </c>
    </row>
    <row r="51" spans="1:15" s="25" customFormat="1" ht="9.75" customHeight="1" hidden="1">
      <c r="A51" s="8" t="s">
        <v>100</v>
      </c>
      <c r="B51" s="9" t="s">
        <v>101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/>
      <c r="I51" s="78"/>
      <c r="J51" s="78"/>
      <c r="K51" s="78"/>
      <c r="L51" s="78"/>
      <c r="M51" s="78"/>
      <c r="N51" s="78"/>
      <c r="O51" s="7" t="s">
        <v>76</v>
      </c>
    </row>
    <row r="52" spans="1:15" s="25" customFormat="1" ht="25.5" hidden="1">
      <c r="A52" s="8" t="s">
        <v>102</v>
      </c>
      <c r="B52" s="9" t="s">
        <v>103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0</v>
      </c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13.5" customHeight="1" hidden="1">
      <c r="A53" s="8" t="s">
        <v>104</v>
      </c>
      <c r="B53" s="9" t="s">
        <v>105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v>0</v>
      </c>
      <c r="I53" s="78">
        <v>0</v>
      </c>
      <c r="J53" s="78"/>
      <c r="K53" s="78"/>
      <c r="L53" s="78"/>
      <c r="M53" s="78"/>
      <c r="N53" s="78"/>
      <c r="O53" s="21"/>
    </row>
    <row r="54" spans="1:15" s="25" customFormat="1" ht="29.25" customHeight="1">
      <c r="A54" s="681" t="s">
        <v>428</v>
      </c>
      <c r="B54" s="683"/>
      <c r="C54" s="27" t="s">
        <v>18</v>
      </c>
      <c r="D54" s="3"/>
      <c r="E54" s="27"/>
      <c r="F54" s="3"/>
      <c r="G54" s="3"/>
      <c r="H54" s="124">
        <f>SUM(H55:H78)</f>
        <v>17759400</v>
      </c>
      <c r="I54" s="97">
        <f>SUM(I55:I78)</f>
        <v>17759400</v>
      </c>
      <c r="J54" s="110"/>
      <c r="K54" s="111" t="s">
        <v>107</v>
      </c>
      <c r="L54" s="111"/>
      <c r="M54" s="111"/>
      <c r="N54" s="111" t="s">
        <v>107</v>
      </c>
      <c r="O54" s="28"/>
    </row>
    <row r="55" spans="1:15" s="25" customFormat="1" ht="12.75">
      <c r="A55" s="22" t="s">
        <v>4</v>
      </c>
      <c r="B55" s="9"/>
      <c r="C55" s="6" t="s">
        <v>18</v>
      </c>
      <c r="D55" s="14">
        <v>14130030000000000</v>
      </c>
      <c r="E55" s="6" t="s">
        <v>108</v>
      </c>
      <c r="F55" s="6" t="s">
        <v>99</v>
      </c>
      <c r="G55" s="6" t="s">
        <v>109</v>
      </c>
      <c r="H55" s="126">
        <f>I55</f>
        <v>12739000</v>
      </c>
      <c r="I55" s="112">
        <v>12739000</v>
      </c>
      <c r="J55" s="78"/>
      <c r="K55" s="107" t="s">
        <v>76</v>
      </c>
      <c r="L55" s="107" t="s">
        <v>76</v>
      </c>
      <c r="M55" s="107" t="s">
        <v>76</v>
      </c>
      <c r="N55" s="107" t="s">
        <v>76</v>
      </c>
      <c r="O55" s="6" t="s">
        <v>76</v>
      </c>
    </row>
    <row r="56" spans="1:15" s="25" customFormat="1" ht="15.75" customHeight="1" hidden="1">
      <c r="A56" s="22" t="s">
        <v>5</v>
      </c>
      <c r="B56" s="9"/>
      <c r="C56" s="6" t="s">
        <v>18</v>
      </c>
      <c r="D56" s="9" t="s">
        <v>81</v>
      </c>
      <c r="E56" s="6" t="s">
        <v>108</v>
      </c>
      <c r="F56" s="6" t="s">
        <v>110</v>
      </c>
      <c r="G56" s="6" t="s">
        <v>111</v>
      </c>
      <c r="H56" s="126">
        <f>I56</f>
        <v>0</v>
      </c>
      <c r="I56" s="78"/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/>
    </row>
    <row r="57" spans="1:15" s="25" customFormat="1" ht="12.75" hidden="1">
      <c r="A57" s="22" t="s">
        <v>5</v>
      </c>
      <c r="B57" s="9"/>
      <c r="C57" s="9"/>
      <c r="D57" s="15"/>
      <c r="E57" s="9"/>
      <c r="F57" s="9" t="s">
        <v>110</v>
      </c>
      <c r="G57" s="9" t="s">
        <v>111</v>
      </c>
      <c r="H57" s="126">
        <f aca="true" t="shared" si="2" ref="H57:H78"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2.75">
      <c r="A58" s="81" t="s">
        <v>6</v>
      </c>
      <c r="B58" s="9"/>
      <c r="C58" s="6" t="s">
        <v>18</v>
      </c>
      <c r="D58" s="14">
        <v>14130030000000000</v>
      </c>
      <c r="E58" s="6" t="s">
        <v>108</v>
      </c>
      <c r="F58" s="6" t="s">
        <v>112</v>
      </c>
      <c r="G58" s="6" t="s">
        <v>113</v>
      </c>
      <c r="H58" s="126">
        <f t="shared" si="2"/>
        <v>3855000</v>
      </c>
      <c r="I58" s="78">
        <v>3855000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 hidden="1">
      <c r="A59" s="86"/>
      <c r="B59" s="12"/>
      <c r="C59" s="60"/>
      <c r="D59" s="30">
        <v>14130030000000000</v>
      </c>
      <c r="E59" s="29"/>
      <c r="F59" s="31"/>
      <c r="G59" s="31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/>
    </row>
    <row r="60" spans="1:15" s="25" customFormat="1" ht="13.5" customHeight="1">
      <c r="A60" s="691" t="s">
        <v>7</v>
      </c>
      <c r="B60" s="9"/>
      <c r="C60" s="693" t="s">
        <v>18</v>
      </c>
      <c r="D60" s="9" t="s">
        <v>81</v>
      </c>
      <c r="E60" s="9" t="s">
        <v>108</v>
      </c>
      <c r="F60" s="693" t="s">
        <v>114</v>
      </c>
      <c r="G60" s="9" t="s">
        <v>115</v>
      </c>
      <c r="H60" s="126">
        <f t="shared" si="2"/>
        <v>32600</v>
      </c>
      <c r="I60" s="113">
        <v>32600</v>
      </c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 hidden="1">
      <c r="A61" s="696"/>
      <c r="B61" s="9"/>
      <c r="C61" s="697"/>
      <c r="D61" s="15"/>
      <c r="E61" s="9"/>
      <c r="F61" s="697"/>
      <c r="G61" s="9" t="s">
        <v>115</v>
      </c>
      <c r="H61" s="126">
        <f t="shared" si="2"/>
        <v>0</v>
      </c>
      <c r="I61" s="78"/>
      <c r="J61" s="100"/>
      <c r="K61" s="101" t="s">
        <v>76</v>
      </c>
      <c r="L61" s="101" t="s">
        <v>76</v>
      </c>
      <c r="M61" s="101" t="s">
        <v>76</v>
      </c>
      <c r="N61" s="101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/>
      <c r="H62" s="126">
        <f t="shared" si="2"/>
        <v>0</v>
      </c>
      <c r="I62" s="78"/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2"/>
        <v>0</v>
      </c>
      <c r="I63" s="78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12.75" customHeight="1">
      <c r="A65" s="692"/>
      <c r="B65" s="9"/>
      <c r="C65" s="694"/>
      <c r="D65" s="14">
        <v>14130030000000000</v>
      </c>
      <c r="E65" s="9" t="s">
        <v>108</v>
      </c>
      <c r="F65" s="694"/>
      <c r="G65" s="9" t="s">
        <v>115</v>
      </c>
      <c r="H65" s="126">
        <f t="shared" si="2"/>
        <v>50155</v>
      </c>
      <c r="I65" s="106">
        <f>30000+20155</f>
        <v>50155</v>
      </c>
      <c r="J65" s="100"/>
      <c r="K65" s="101" t="s">
        <v>76</v>
      </c>
      <c r="L65" s="101"/>
      <c r="M65" s="101"/>
      <c r="N65" s="101" t="s">
        <v>76</v>
      </c>
      <c r="O65" s="6"/>
    </row>
    <row r="66" spans="1:15" s="25" customFormat="1" ht="12.75" customHeight="1">
      <c r="A66" s="16" t="s">
        <v>8</v>
      </c>
      <c r="B66" s="9"/>
      <c r="C66" s="6" t="s">
        <v>18</v>
      </c>
      <c r="D66" s="9" t="s">
        <v>81</v>
      </c>
      <c r="E66" s="10" t="s">
        <v>108</v>
      </c>
      <c r="F66" s="11" t="s">
        <v>128</v>
      </c>
      <c r="G66" s="10" t="s">
        <v>115</v>
      </c>
      <c r="H66" s="126">
        <f t="shared" si="2"/>
        <v>102000</v>
      </c>
      <c r="I66" s="113">
        <v>102000</v>
      </c>
      <c r="J66" s="100"/>
      <c r="K66" s="101" t="s">
        <v>76</v>
      </c>
      <c r="L66" s="101"/>
      <c r="M66" s="101"/>
      <c r="N66" s="101" t="s">
        <v>76</v>
      </c>
      <c r="O66" s="6"/>
    </row>
    <row r="67" spans="1:15" s="25" customFormat="1" ht="12.75">
      <c r="A67" s="749" t="s">
        <v>12</v>
      </c>
      <c r="B67" s="449"/>
      <c r="C67" s="747" t="s">
        <v>18</v>
      </c>
      <c r="D67" s="449" t="s">
        <v>81</v>
      </c>
      <c r="E67" s="747" t="s">
        <v>108</v>
      </c>
      <c r="F67" s="747" t="s">
        <v>116</v>
      </c>
      <c r="G67" s="747" t="s">
        <v>115</v>
      </c>
      <c r="H67" s="447">
        <f t="shared" si="2"/>
        <v>250700</v>
      </c>
      <c r="I67" s="459">
        <f>216300+56000-21600</f>
        <v>250700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12.75" hidden="1">
      <c r="A68" s="750"/>
      <c r="B68" s="449"/>
      <c r="C68" s="748"/>
      <c r="D68" s="451">
        <v>14130030000000000</v>
      </c>
      <c r="E68" s="748"/>
      <c r="F68" s="748"/>
      <c r="G68" s="748"/>
      <c r="H68" s="447">
        <f t="shared" si="2"/>
        <v>0</v>
      </c>
      <c r="I68" s="452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12.75" hidden="1">
      <c r="A69" s="22" t="s">
        <v>13</v>
      </c>
      <c r="B69" s="9"/>
      <c r="C69" s="9"/>
      <c r="D69" s="15"/>
      <c r="E69" s="9"/>
      <c r="F69" s="9" t="s">
        <v>117</v>
      </c>
      <c r="G69" s="9" t="s">
        <v>115</v>
      </c>
      <c r="H69" s="447">
        <f t="shared" si="2"/>
        <v>0</v>
      </c>
      <c r="I69" s="78"/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 t="s">
        <v>76</v>
      </c>
    </row>
    <row r="70" spans="1:15" s="25" customFormat="1" ht="12.75">
      <c r="A70" s="460" t="s">
        <v>427</v>
      </c>
      <c r="B70" s="461"/>
      <c r="C70" s="462" t="s">
        <v>18</v>
      </c>
      <c r="D70" s="461" t="s">
        <v>81</v>
      </c>
      <c r="E70" s="466" t="s">
        <v>232</v>
      </c>
      <c r="F70" s="461" t="s">
        <v>116</v>
      </c>
      <c r="G70" s="463" t="s">
        <v>115</v>
      </c>
      <c r="H70" s="464">
        <f t="shared" si="2"/>
        <v>21600</v>
      </c>
      <c r="I70" s="465">
        <v>21600</v>
      </c>
      <c r="J70" s="100"/>
      <c r="K70" s="101"/>
      <c r="L70" s="101"/>
      <c r="M70" s="101"/>
      <c r="N70" s="101"/>
      <c r="O70" s="6"/>
    </row>
    <row r="71" spans="1:15" s="25" customFormat="1" ht="25.5">
      <c r="A71" s="22" t="s">
        <v>245</v>
      </c>
      <c r="B71" s="9"/>
      <c r="C71" s="9" t="s">
        <v>18</v>
      </c>
      <c r="D71" s="14">
        <v>14130010000000000</v>
      </c>
      <c r="E71" s="9" t="s">
        <v>108</v>
      </c>
      <c r="F71" s="9" t="s">
        <v>246</v>
      </c>
      <c r="G71" s="10" t="s">
        <v>109</v>
      </c>
      <c r="H71" s="126">
        <f>I71</f>
        <v>25500</v>
      </c>
      <c r="I71" s="78">
        <v>25500</v>
      </c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/>
    </row>
    <row r="72" spans="1:15" s="25" customFormat="1" ht="12.75">
      <c r="A72" s="22" t="s">
        <v>14</v>
      </c>
      <c r="B72" s="9"/>
      <c r="C72" s="9" t="s">
        <v>18</v>
      </c>
      <c r="D72" s="14">
        <v>14130030000000000</v>
      </c>
      <c r="E72" s="695" t="s">
        <v>108</v>
      </c>
      <c r="F72" s="9" t="s">
        <v>118</v>
      </c>
      <c r="G72" s="9" t="s">
        <v>115</v>
      </c>
      <c r="H72" s="126">
        <f t="shared" si="2"/>
        <v>641445</v>
      </c>
      <c r="I72" s="79">
        <v>641445</v>
      </c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 t="s">
        <v>76</v>
      </c>
    </row>
    <row r="73" spans="1:15" s="25" customFormat="1" ht="51" hidden="1">
      <c r="A73" s="82" t="s">
        <v>237</v>
      </c>
      <c r="B73" s="9"/>
      <c r="C73" s="83" t="s">
        <v>18</v>
      </c>
      <c r="D73" s="9" t="s">
        <v>81</v>
      </c>
      <c r="E73" s="695"/>
      <c r="F73" s="84" t="s">
        <v>238</v>
      </c>
      <c r="G73" s="84" t="s">
        <v>115</v>
      </c>
      <c r="H73" s="126">
        <f t="shared" si="2"/>
        <v>0</v>
      </c>
      <c r="I73" s="113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/>
    </row>
    <row r="74" spans="1:15" s="25" customFormat="1" ht="38.25">
      <c r="A74" s="82" t="s">
        <v>239</v>
      </c>
      <c r="B74" s="9"/>
      <c r="C74" s="83" t="s">
        <v>18</v>
      </c>
      <c r="D74" s="9" t="s">
        <v>81</v>
      </c>
      <c r="E74" s="83" t="s">
        <v>108</v>
      </c>
      <c r="F74" s="84" t="s">
        <v>240</v>
      </c>
      <c r="G74" s="84" t="s">
        <v>115</v>
      </c>
      <c r="H74" s="126">
        <f t="shared" si="2"/>
        <v>1400</v>
      </c>
      <c r="I74" s="106">
        <v>1400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25.5">
      <c r="A75" s="22" t="s">
        <v>241</v>
      </c>
      <c r="B75" s="9"/>
      <c r="C75" s="9" t="s">
        <v>18</v>
      </c>
      <c r="D75" s="14">
        <v>14130030000000000</v>
      </c>
      <c r="E75" s="10" t="s">
        <v>108</v>
      </c>
      <c r="F75" s="9" t="s">
        <v>242</v>
      </c>
      <c r="G75" s="9" t="s">
        <v>115</v>
      </c>
      <c r="H75" s="126">
        <f t="shared" si="2"/>
        <v>40000</v>
      </c>
      <c r="I75" s="376">
        <f>20000+20000</f>
        <v>40000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394" t="s">
        <v>243</v>
      </c>
      <c r="B76" s="6"/>
      <c r="C76" s="6" t="s">
        <v>18</v>
      </c>
      <c r="D76" s="395">
        <v>14130030000000000</v>
      </c>
      <c r="E76" s="6" t="s">
        <v>108</v>
      </c>
      <c r="F76" s="6" t="s">
        <v>244</v>
      </c>
      <c r="G76" s="6" t="s">
        <v>115</v>
      </c>
      <c r="H76" s="126">
        <f t="shared" si="2"/>
        <v>0</v>
      </c>
      <c r="I76" s="376">
        <f>20000-20000</f>
        <v>0</v>
      </c>
      <c r="J76" s="107"/>
      <c r="K76" s="107" t="s">
        <v>76</v>
      </c>
      <c r="L76" s="107" t="s">
        <v>76</v>
      </c>
      <c r="M76" s="107" t="s">
        <v>76</v>
      </c>
      <c r="N76" s="107" t="s">
        <v>76</v>
      </c>
      <c r="O76" s="6"/>
    </row>
    <row r="77" spans="1:15" s="25" customFormat="1" ht="12.75" hidden="1">
      <c r="A77" s="691" t="s">
        <v>188</v>
      </c>
      <c r="B77" s="9"/>
      <c r="C77" s="693" t="s">
        <v>18</v>
      </c>
      <c r="D77" s="9" t="s">
        <v>81</v>
      </c>
      <c r="E77" s="693" t="s">
        <v>108</v>
      </c>
      <c r="F77" s="693" t="s">
        <v>119</v>
      </c>
      <c r="G77" s="693" t="s">
        <v>115</v>
      </c>
      <c r="H77" s="126">
        <f t="shared" si="2"/>
        <v>0</v>
      </c>
      <c r="I77" s="78"/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/>
    </row>
    <row r="78" spans="1:15" s="25" customFormat="1" ht="12.75" hidden="1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2"/>
        <v>0</v>
      </c>
      <c r="I78" s="79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 t="s">
        <v>76</v>
      </c>
    </row>
    <row r="79" spans="1:15" s="25" customFormat="1" ht="27.75" customHeight="1">
      <c r="A79" s="681" t="s">
        <v>189</v>
      </c>
      <c r="B79" s="683"/>
      <c r="C79" s="27" t="s">
        <v>20</v>
      </c>
      <c r="D79" s="3"/>
      <c r="E79" s="27"/>
      <c r="F79" s="3"/>
      <c r="G79" s="3"/>
      <c r="H79" s="124">
        <f>I79</f>
        <v>3949039</v>
      </c>
      <c r="I79" s="97">
        <f>SUM(I80:I96)</f>
        <v>3949039</v>
      </c>
      <c r="J79" s="110"/>
      <c r="K79" s="111" t="s">
        <v>107</v>
      </c>
      <c r="L79" s="111"/>
      <c r="M79" s="111"/>
      <c r="N79" s="111" t="s">
        <v>107</v>
      </c>
      <c r="O79" s="28"/>
    </row>
    <row r="80" spans="1:15" s="25" customFormat="1" ht="15" customHeight="1">
      <c r="A80" s="22" t="s">
        <v>9</v>
      </c>
      <c r="B80" s="9"/>
      <c r="C80" s="9" t="s">
        <v>20</v>
      </c>
      <c r="D80" s="9" t="s">
        <v>81</v>
      </c>
      <c r="E80" s="9" t="s">
        <v>108</v>
      </c>
      <c r="F80" s="9" t="s">
        <v>120</v>
      </c>
      <c r="G80" s="9" t="s">
        <v>115</v>
      </c>
      <c r="H80" s="126">
        <f>I80</f>
        <v>934139</v>
      </c>
      <c r="I80" s="78">
        <f>1083500-149361</f>
        <v>934139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 t="s">
        <v>76</v>
      </c>
    </row>
    <row r="81" spans="1:15" s="25" customFormat="1" ht="15" customHeight="1">
      <c r="A81" s="82" t="s">
        <v>8</v>
      </c>
      <c r="B81" s="9"/>
      <c r="C81" s="9" t="s">
        <v>20</v>
      </c>
      <c r="D81" s="9" t="s">
        <v>81</v>
      </c>
      <c r="E81" s="10" t="s">
        <v>108</v>
      </c>
      <c r="F81" s="10" t="s">
        <v>128</v>
      </c>
      <c r="G81" s="10" t="s">
        <v>115</v>
      </c>
      <c r="H81" s="126">
        <f>I81</f>
        <v>17547.48</v>
      </c>
      <c r="I81" s="78">
        <v>17547.48</v>
      </c>
      <c r="J81" s="78"/>
      <c r="K81" s="107"/>
      <c r="L81" s="107"/>
      <c r="M81" s="107"/>
      <c r="N81" s="107"/>
      <c r="O81" s="6"/>
    </row>
    <row r="82" spans="1:15" s="25" customFormat="1" ht="15" customHeight="1">
      <c r="A82" s="691" t="s">
        <v>11</v>
      </c>
      <c r="B82" s="9"/>
      <c r="C82" s="693" t="s">
        <v>20</v>
      </c>
      <c r="D82" s="9" t="s">
        <v>81</v>
      </c>
      <c r="E82" s="693" t="s">
        <v>108</v>
      </c>
      <c r="F82" s="693" t="s">
        <v>121</v>
      </c>
      <c r="G82" s="693" t="s">
        <v>115</v>
      </c>
      <c r="H82" s="126">
        <f aca="true" t="shared" si="3" ref="H82:H96">I82</f>
        <v>231900</v>
      </c>
      <c r="I82" s="112">
        <f>246900-15000</f>
        <v>231900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>
      <c r="A83" s="692"/>
      <c r="B83" s="9"/>
      <c r="C83" s="694"/>
      <c r="D83" s="14">
        <v>14130030000000000</v>
      </c>
      <c r="E83" s="694"/>
      <c r="F83" s="694"/>
      <c r="G83" s="694"/>
      <c r="H83" s="126">
        <f t="shared" si="3"/>
        <v>2020000</v>
      </c>
      <c r="I83" s="112">
        <v>2020000</v>
      </c>
      <c r="J83" s="362"/>
      <c r="K83" s="107" t="s">
        <v>76</v>
      </c>
      <c r="L83" s="107"/>
      <c r="M83" s="107"/>
      <c r="N83" s="107" t="s">
        <v>76</v>
      </c>
      <c r="O83" s="6"/>
    </row>
    <row r="84" spans="1:15" s="25" customFormat="1" ht="12.75">
      <c r="A84" s="691" t="s">
        <v>12</v>
      </c>
      <c r="B84" s="9"/>
      <c r="C84" s="693" t="s">
        <v>20</v>
      </c>
      <c r="D84" s="9" t="s">
        <v>81</v>
      </c>
      <c r="E84" s="693" t="s">
        <v>108</v>
      </c>
      <c r="F84" s="693" t="s">
        <v>116</v>
      </c>
      <c r="G84" s="693" t="s">
        <v>115</v>
      </c>
      <c r="H84" s="126">
        <f t="shared" si="3"/>
        <v>82352.52</v>
      </c>
      <c r="I84" s="78">
        <f>99900-17547.48</f>
        <v>82352.52</v>
      </c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 t="s">
        <v>76</v>
      </c>
    </row>
    <row r="85" spans="1:15" s="25" customFormat="1" ht="12.75">
      <c r="A85" s="692"/>
      <c r="B85" s="9"/>
      <c r="C85" s="694"/>
      <c r="D85" s="14">
        <v>14130030000000000</v>
      </c>
      <c r="E85" s="694"/>
      <c r="F85" s="694"/>
      <c r="G85" s="694"/>
      <c r="H85" s="126">
        <f t="shared" si="3"/>
        <v>534800</v>
      </c>
      <c r="I85" s="115">
        <v>534800</v>
      </c>
      <c r="J85" s="78"/>
      <c r="K85" s="107" t="s">
        <v>76</v>
      </c>
      <c r="L85" s="107"/>
      <c r="M85" s="107"/>
      <c r="N85" s="107" t="s">
        <v>76</v>
      </c>
      <c r="O85" s="6"/>
    </row>
    <row r="86" spans="1:15" s="25" customFormat="1" ht="12.75">
      <c r="A86" s="22" t="s">
        <v>249</v>
      </c>
      <c r="B86" s="9"/>
      <c r="C86" s="9" t="s">
        <v>20</v>
      </c>
      <c r="D86" s="9" t="s">
        <v>81</v>
      </c>
      <c r="E86" s="9" t="s">
        <v>108</v>
      </c>
      <c r="F86" s="9" t="s">
        <v>206</v>
      </c>
      <c r="G86" s="9" t="s">
        <v>122</v>
      </c>
      <c r="H86" s="126">
        <f t="shared" si="3"/>
        <v>55400</v>
      </c>
      <c r="I86" s="78">
        <v>55400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250</v>
      </c>
      <c r="H87" s="126">
        <f t="shared" si="3"/>
        <v>4800</v>
      </c>
      <c r="I87" s="79">
        <v>4800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 hidden="1">
      <c r="A88" s="22" t="s">
        <v>14</v>
      </c>
      <c r="B88" s="9"/>
      <c r="C88" s="9" t="s">
        <v>20</v>
      </c>
      <c r="D88" s="9" t="s">
        <v>81</v>
      </c>
      <c r="E88" s="9" t="s">
        <v>124</v>
      </c>
      <c r="F88" s="9" t="s">
        <v>118</v>
      </c>
      <c r="G88" s="9" t="s">
        <v>115</v>
      </c>
      <c r="H88" s="126">
        <f t="shared" si="3"/>
        <v>0</v>
      </c>
      <c r="I88" s="78"/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51" hidden="1">
      <c r="A89" s="82" t="s">
        <v>237</v>
      </c>
      <c r="B89" s="9"/>
      <c r="C89" s="83" t="s">
        <v>18</v>
      </c>
      <c r="D89" s="9" t="s">
        <v>81</v>
      </c>
      <c r="E89" s="83" t="s">
        <v>124</v>
      </c>
      <c r="F89" s="84" t="s">
        <v>238</v>
      </c>
      <c r="G89" s="84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/>
    </row>
    <row r="90" spans="1:15" s="25" customFormat="1" ht="38.25" hidden="1">
      <c r="A90" s="82" t="s">
        <v>239</v>
      </c>
      <c r="B90" s="9"/>
      <c r="C90" s="83" t="s">
        <v>18</v>
      </c>
      <c r="D90" s="9" t="s">
        <v>81</v>
      </c>
      <c r="E90" s="83" t="s">
        <v>124</v>
      </c>
      <c r="F90" s="84" t="s">
        <v>240</v>
      </c>
      <c r="G90" s="84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25.5">
      <c r="A91" s="85" t="s">
        <v>248</v>
      </c>
      <c r="B91" s="9"/>
      <c r="C91" s="9" t="s">
        <v>20</v>
      </c>
      <c r="D91" s="9" t="s">
        <v>81</v>
      </c>
      <c r="E91" s="83" t="s">
        <v>108</v>
      </c>
      <c r="F91" s="10" t="s">
        <v>247</v>
      </c>
      <c r="G91" s="84" t="s">
        <v>115</v>
      </c>
      <c r="H91" s="126">
        <f t="shared" si="3"/>
        <v>20000</v>
      </c>
      <c r="I91" s="78">
        <f>10000+10000+15000-15000</f>
        <v>20000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22" t="s">
        <v>241</v>
      </c>
      <c r="B92" s="9"/>
      <c r="C92" s="9" t="s">
        <v>20</v>
      </c>
      <c r="D92" s="9" t="s">
        <v>81</v>
      </c>
      <c r="E92" s="9" t="s">
        <v>108</v>
      </c>
      <c r="F92" s="9" t="s">
        <v>242</v>
      </c>
      <c r="G92" s="9" t="s">
        <v>115</v>
      </c>
      <c r="H92" s="126">
        <f t="shared" si="3"/>
        <v>48100</v>
      </c>
      <c r="I92" s="78">
        <f>33100+15000</f>
        <v>48100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 hidden="1">
      <c r="A93" s="85" t="s">
        <v>243</v>
      </c>
      <c r="B93" s="57"/>
      <c r="C93" s="9" t="s">
        <v>20</v>
      </c>
      <c r="D93" s="9" t="s">
        <v>81</v>
      </c>
      <c r="E93" s="9" t="s">
        <v>108</v>
      </c>
      <c r="F93" s="9" t="s">
        <v>244</v>
      </c>
      <c r="G93" s="9" t="s">
        <v>115</v>
      </c>
      <c r="H93" s="126">
        <f t="shared" si="3"/>
        <v>0</v>
      </c>
      <c r="I93" s="78">
        <f>10000-10000</f>
        <v>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12.75" hidden="1">
      <c r="A94" s="22"/>
      <c r="B94" s="9"/>
      <c r="C94" s="9"/>
      <c r="D94" s="9"/>
      <c r="E94" s="9"/>
      <c r="F94" s="9"/>
      <c r="G94" s="9"/>
      <c r="H94" s="126"/>
      <c r="I94" s="78"/>
      <c r="J94" s="78"/>
      <c r="K94" s="107"/>
      <c r="L94" s="107"/>
      <c r="M94" s="107"/>
      <c r="N94" s="107"/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 t="s">
        <v>188</v>
      </c>
      <c r="B96" s="9"/>
      <c r="C96" s="9" t="s">
        <v>20</v>
      </c>
      <c r="D96" s="9" t="s">
        <v>81</v>
      </c>
      <c r="E96" s="9" t="s">
        <v>108</v>
      </c>
      <c r="F96" s="9" t="s">
        <v>119</v>
      </c>
      <c r="G96" s="9" t="s">
        <v>115</v>
      </c>
      <c r="H96" s="126">
        <f t="shared" si="3"/>
        <v>0</v>
      </c>
      <c r="I96" s="78"/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 t="s">
        <v>76</v>
      </c>
    </row>
    <row r="97" spans="1:15" s="25" customFormat="1" ht="13.5">
      <c r="A97" s="681" t="s">
        <v>125</v>
      </c>
      <c r="B97" s="683"/>
      <c r="C97" s="27" t="s">
        <v>21</v>
      </c>
      <c r="D97" s="3"/>
      <c r="E97" s="27"/>
      <c r="F97" s="3"/>
      <c r="G97" s="3"/>
      <c r="H97" s="124">
        <f>K97</f>
        <v>653340</v>
      </c>
      <c r="I97" s="98"/>
      <c r="J97" s="97"/>
      <c r="K97" s="97">
        <f>K100</f>
        <v>653340</v>
      </c>
      <c r="L97" s="110"/>
      <c r="M97" s="110"/>
      <c r="N97" s="111" t="s">
        <v>107</v>
      </c>
      <c r="O97" s="28"/>
    </row>
    <row r="98" spans="1:15" s="25" customFormat="1" ht="12.75" hidden="1">
      <c r="A98" s="22" t="s">
        <v>4</v>
      </c>
      <c r="B98" s="9"/>
      <c r="C98" s="9"/>
      <c r="D98" s="9"/>
      <c r="E98" s="9"/>
      <c r="F98" s="9" t="s">
        <v>99</v>
      </c>
      <c r="G98" s="9" t="s">
        <v>109</v>
      </c>
      <c r="H98" s="126">
        <f>I98</f>
        <v>0</v>
      </c>
      <c r="I98" s="78"/>
      <c r="J98" s="78"/>
      <c r="K98" s="116" t="s">
        <v>76</v>
      </c>
      <c r="L98" s="107" t="s">
        <v>76</v>
      </c>
      <c r="M98" s="107" t="s">
        <v>76</v>
      </c>
      <c r="N98" s="107" t="s">
        <v>76</v>
      </c>
      <c r="O98" s="6" t="s">
        <v>76</v>
      </c>
    </row>
    <row r="99" spans="1:15" s="25" customFormat="1" ht="12.75" hidden="1">
      <c r="A99" s="22" t="s">
        <v>5</v>
      </c>
      <c r="B99" s="9"/>
      <c r="C99" s="9"/>
      <c r="D99" s="9"/>
      <c r="E99" s="9"/>
      <c r="F99" s="9"/>
      <c r="G99" s="9"/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3.5">
      <c r="A100" s="22" t="s">
        <v>12</v>
      </c>
      <c r="B100" s="9"/>
      <c r="C100" s="41" t="s">
        <v>21</v>
      </c>
      <c r="D100" s="9" t="s">
        <v>89</v>
      </c>
      <c r="E100" s="9" t="s">
        <v>126</v>
      </c>
      <c r="F100" s="9" t="s">
        <v>116</v>
      </c>
      <c r="G100" s="9" t="s">
        <v>115</v>
      </c>
      <c r="H100" s="126">
        <f aca="true" t="shared" si="4" ref="H100:H115">K100</f>
        <v>653340</v>
      </c>
      <c r="I100" s="107" t="s">
        <v>76</v>
      </c>
      <c r="J100" s="78"/>
      <c r="K100" s="391">
        <f>676900-23560</f>
        <v>653340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8.75" customHeight="1" hidden="1">
      <c r="A101" s="687" t="s">
        <v>127</v>
      </c>
      <c r="B101" s="688"/>
      <c r="C101" s="27" t="s">
        <v>22</v>
      </c>
      <c r="D101" s="3"/>
      <c r="E101" s="3"/>
      <c r="F101" s="3"/>
      <c r="G101" s="3"/>
      <c r="H101" s="131">
        <f t="shared" si="4"/>
        <v>0</v>
      </c>
      <c r="I101" s="117"/>
      <c r="J101" s="110"/>
      <c r="K101" s="118">
        <f>K102</f>
        <v>0</v>
      </c>
      <c r="L101" s="117"/>
      <c r="M101" s="117"/>
      <c r="N101" s="117"/>
      <c r="O101" s="6"/>
    </row>
    <row r="102" spans="1:15" s="25" customFormat="1" ht="13.5" customHeight="1" hidden="1">
      <c r="A102" s="22" t="s">
        <v>12</v>
      </c>
      <c r="B102" s="40"/>
      <c r="C102" s="41" t="s">
        <v>22</v>
      </c>
      <c r="D102" s="9" t="s">
        <v>81</v>
      </c>
      <c r="E102" s="9" t="s">
        <v>108</v>
      </c>
      <c r="F102" s="9" t="s">
        <v>116</v>
      </c>
      <c r="G102" s="9" t="s">
        <v>115</v>
      </c>
      <c r="H102" s="126">
        <f t="shared" si="4"/>
        <v>0</v>
      </c>
      <c r="I102" s="107" t="s">
        <v>76</v>
      </c>
      <c r="J102" s="78"/>
      <c r="K102" s="116"/>
      <c r="L102" s="107"/>
      <c r="M102" s="107"/>
      <c r="N102" s="107" t="s">
        <v>76</v>
      </c>
      <c r="O102" s="6"/>
    </row>
    <row r="103" spans="1:15" s="25" customFormat="1" ht="28.5" customHeight="1">
      <c r="A103" s="39" t="s">
        <v>190</v>
      </c>
      <c r="B103" s="55"/>
      <c r="C103" s="27" t="s">
        <v>41</v>
      </c>
      <c r="D103" s="3"/>
      <c r="E103" s="3"/>
      <c r="F103" s="3"/>
      <c r="G103" s="3"/>
      <c r="H103" s="124">
        <f t="shared" si="4"/>
        <v>24000</v>
      </c>
      <c r="I103" s="119"/>
      <c r="J103" s="97"/>
      <c r="K103" s="120">
        <f>K104</f>
        <v>24000</v>
      </c>
      <c r="L103" s="117"/>
      <c r="M103" s="117"/>
      <c r="N103" s="117"/>
      <c r="O103" s="6"/>
    </row>
    <row r="104" spans="1:15" s="25" customFormat="1" ht="12.75">
      <c r="A104" s="22" t="s">
        <v>12</v>
      </c>
      <c r="B104" s="40"/>
      <c r="C104" s="9" t="s">
        <v>41</v>
      </c>
      <c r="D104" s="9" t="s">
        <v>81</v>
      </c>
      <c r="E104" s="9" t="s">
        <v>154</v>
      </c>
      <c r="F104" s="9" t="s">
        <v>116</v>
      </c>
      <c r="G104" s="9" t="s">
        <v>115</v>
      </c>
      <c r="H104" s="126">
        <f t="shared" si="4"/>
        <v>24000</v>
      </c>
      <c r="I104" s="107" t="s">
        <v>76</v>
      </c>
      <c r="J104" s="78"/>
      <c r="K104" s="116">
        <v>24000</v>
      </c>
      <c r="L104" s="107"/>
      <c r="M104" s="107"/>
      <c r="N104" s="107" t="s">
        <v>76</v>
      </c>
      <c r="O104" s="6"/>
    </row>
    <row r="105" spans="1:15" s="25" customFormat="1" ht="36" customHeight="1">
      <c r="A105" s="681" t="s">
        <v>374</v>
      </c>
      <c r="B105" s="683"/>
      <c r="C105" s="27" t="s">
        <v>373</v>
      </c>
      <c r="D105" s="3"/>
      <c r="E105" s="3"/>
      <c r="F105" s="3"/>
      <c r="G105" s="3"/>
      <c r="H105" s="435">
        <f>K105</f>
        <v>60000</v>
      </c>
      <c r="I105" s="436" t="s">
        <v>76</v>
      </c>
      <c r="J105" s="437"/>
      <c r="K105" s="435">
        <f>SUM(K106:K109)</f>
        <v>60000</v>
      </c>
      <c r="L105" s="435">
        <f>SUM(L106:L109)</f>
        <v>0</v>
      </c>
      <c r="M105" s="435">
        <f>SUM(M106:M109)</f>
        <v>0</v>
      </c>
      <c r="N105" s="435"/>
      <c r="O105" s="6"/>
    </row>
    <row r="106" spans="1:15" s="25" customFormat="1" ht="12.75">
      <c r="A106" s="8" t="s">
        <v>335</v>
      </c>
      <c r="B106" s="40"/>
      <c r="C106" s="60" t="s">
        <v>373</v>
      </c>
      <c r="D106" s="434" t="s">
        <v>332</v>
      </c>
      <c r="E106" s="9" t="s">
        <v>108</v>
      </c>
      <c r="F106" s="9" t="s">
        <v>116</v>
      </c>
      <c r="G106" s="9" t="s">
        <v>115</v>
      </c>
      <c r="H106" s="433">
        <f>K106</f>
        <v>43200</v>
      </c>
      <c r="I106" s="107"/>
      <c r="J106" s="78"/>
      <c r="K106" s="116">
        <v>43200</v>
      </c>
      <c r="L106" s="107"/>
      <c r="M106" s="107"/>
      <c r="N106" s="107"/>
      <c r="O106" s="6"/>
    </row>
    <row r="107" spans="1:15" s="25" customFormat="1" ht="12.75">
      <c r="A107" s="8" t="s">
        <v>336</v>
      </c>
      <c r="B107" s="40"/>
      <c r="C107" s="60" t="s">
        <v>373</v>
      </c>
      <c r="D107" s="434" t="s">
        <v>214</v>
      </c>
      <c r="E107" s="9" t="s">
        <v>108</v>
      </c>
      <c r="F107" s="9" t="s">
        <v>116</v>
      </c>
      <c r="G107" s="9" t="s">
        <v>115</v>
      </c>
      <c r="H107" s="433">
        <f>K107</f>
        <v>4800</v>
      </c>
      <c r="I107" s="107"/>
      <c r="J107" s="78"/>
      <c r="K107" s="116">
        <v>4800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333</v>
      </c>
      <c r="E108" s="9" t="s">
        <v>108</v>
      </c>
      <c r="F108" s="9" t="s">
        <v>116</v>
      </c>
      <c r="G108" s="9" t="s">
        <v>115</v>
      </c>
      <c r="H108" s="433">
        <f>K108</f>
        <v>10800</v>
      </c>
      <c r="I108" s="107"/>
      <c r="J108" s="78"/>
      <c r="K108" s="116">
        <v>10800</v>
      </c>
      <c r="L108" s="107"/>
      <c r="M108" s="107"/>
      <c r="N108" s="107"/>
      <c r="O108" s="6"/>
    </row>
    <row r="109" spans="1:15" s="25" customFormat="1" ht="12.75">
      <c r="A109" s="8" t="s">
        <v>337</v>
      </c>
      <c r="B109" s="40"/>
      <c r="C109" s="60" t="s">
        <v>373</v>
      </c>
      <c r="D109" s="434" t="s">
        <v>216</v>
      </c>
      <c r="E109" s="9" t="s">
        <v>108</v>
      </c>
      <c r="F109" s="9" t="s">
        <v>116</v>
      </c>
      <c r="G109" s="9" t="s">
        <v>115</v>
      </c>
      <c r="H109" s="433">
        <f>K109</f>
        <v>1200</v>
      </c>
      <c r="I109" s="107"/>
      <c r="J109" s="78"/>
      <c r="K109" s="116">
        <v>1200</v>
      </c>
      <c r="L109" s="107"/>
      <c r="M109" s="107"/>
      <c r="N109" s="107"/>
      <c r="O109" s="6"/>
    </row>
    <row r="110" spans="1:15" s="25" customFormat="1" ht="41.25" customHeight="1">
      <c r="A110" s="681" t="s">
        <v>334</v>
      </c>
      <c r="B110" s="683"/>
      <c r="C110" s="27" t="s">
        <v>211</v>
      </c>
      <c r="D110" s="3"/>
      <c r="E110" s="3"/>
      <c r="F110" s="3"/>
      <c r="G110" s="3"/>
      <c r="H110" s="124">
        <f t="shared" si="4"/>
        <v>80000</v>
      </c>
      <c r="I110" s="117" t="s">
        <v>76</v>
      </c>
      <c r="J110" s="110"/>
      <c r="K110" s="97">
        <f>SUM(K111:K115)</f>
        <v>80000</v>
      </c>
      <c r="L110" s="117"/>
      <c r="M110" s="117"/>
      <c r="N110" s="117" t="s">
        <v>76</v>
      </c>
      <c r="O110" s="6"/>
    </row>
    <row r="111" spans="1:15" s="25" customFormat="1" ht="12.75">
      <c r="A111" s="22" t="s">
        <v>12</v>
      </c>
      <c r="B111" s="57"/>
      <c r="C111" s="9" t="s">
        <v>204</v>
      </c>
      <c r="D111" s="9" t="s">
        <v>81</v>
      </c>
      <c r="E111" s="9" t="s">
        <v>108</v>
      </c>
      <c r="F111" s="9" t="s">
        <v>116</v>
      </c>
      <c r="G111" s="9" t="s">
        <v>115</v>
      </c>
      <c r="H111" s="126">
        <f t="shared" si="4"/>
        <v>80000</v>
      </c>
      <c r="I111" s="107" t="s">
        <v>76</v>
      </c>
      <c r="J111" s="107"/>
      <c r="K111" s="116">
        <v>80000</v>
      </c>
      <c r="L111" s="107"/>
      <c r="M111" s="107"/>
      <c r="N111" s="107" t="s">
        <v>76</v>
      </c>
      <c r="O111" s="6"/>
    </row>
    <row r="112" spans="1:15" s="25" customFormat="1" ht="12.75">
      <c r="A112" s="8" t="s">
        <v>335</v>
      </c>
      <c r="B112" s="9"/>
      <c r="C112" s="9" t="s">
        <v>211</v>
      </c>
      <c r="D112" s="393" t="s">
        <v>332</v>
      </c>
      <c r="E112" s="9" t="s">
        <v>108</v>
      </c>
      <c r="F112" s="9" t="s">
        <v>116</v>
      </c>
      <c r="G112" s="9" t="s">
        <v>115</v>
      </c>
      <c r="H112" s="126">
        <f t="shared" si="4"/>
        <v>0</v>
      </c>
      <c r="I112" s="107" t="s">
        <v>76</v>
      </c>
      <c r="J112" s="78"/>
      <c r="K112" s="109"/>
      <c r="L112" s="107"/>
      <c r="M112" s="107"/>
      <c r="N112" s="107" t="s">
        <v>76</v>
      </c>
      <c r="O112" s="64" t="s">
        <v>76</v>
      </c>
    </row>
    <row r="113" spans="1:15" s="25" customFormat="1" ht="12.75">
      <c r="A113" s="8" t="s">
        <v>336</v>
      </c>
      <c r="B113" s="9"/>
      <c r="C113" s="9" t="s">
        <v>211</v>
      </c>
      <c r="D113" s="393" t="s">
        <v>214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78"/>
      <c r="L113" s="107"/>
      <c r="M113" s="107"/>
      <c r="N113" s="107" t="s">
        <v>76</v>
      </c>
      <c r="O113" s="6"/>
    </row>
    <row r="114" spans="1:15" s="25" customFormat="1" ht="12.75">
      <c r="A114" s="8" t="s">
        <v>336</v>
      </c>
      <c r="B114" s="9"/>
      <c r="C114" s="9" t="s">
        <v>211</v>
      </c>
      <c r="D114" s="393" t="s">
        <v>333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337</v>
      </c>
      <c r="B115" s="9"/>
      <c r="C115" s="9" t="s">
        <v>211</v>
      </c>
      <c r="D115" s="393" t="s">
        <v>216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41.25" customHeight="1">
      <c r="A116" s="681" t="s">
        <v>360</v>
      </c>
      <c r="B116" s="683"/>
      <c r="C116" s="27" t="s">
        <v>51</v>
      </c>
      <c r="D116" s="43"/>
      <c r="E116" s="42"/>
      <c r="F116" s="42"/>
      <c r="G116" s="42"/>
      <c r="H116" s="124"/>
      <c r="I116" s="119"/>
      <c r="J116" s="97"/>
      <c r="K116" s="120">
        <f>SUM(K118:K126)</f>
        <v>411025.7</v>
      </c>
      <c r="L116" s="119"/>
      <c r="M116" s="119"/>
      <c r="N116" s="119"/>
      <c r="O116" s="6"/>
    </row>
    <row r="117" spans="1:15" s="25" customFormat="1" ht="12.75" hidden="1">
      <c r="A117" s="61" t="s">
        <v>11</v>
      </c>
      <c r="B117" s="59"/>
      <c r="C117" s="59" t="s">
        <v>51</v>
      </c>
      <c r="D117" s="59" t="s">
        <v>81</v>
      </c>
      <c r="E117" s="59" t="s">
        <v>218</v>
      </c>
      <c r="F117" s="59" t="s">
        <v>121</v>
      </c>
      <c r="G117" s="59" t="s">
        <v>115</v>
      </c>
      <c r="H117" s="127">
        <f aca="true" t="shared" si="5" ref="H117:H126">K117</f>
        <v>0</v>
      </c>
      <c r="I117" s="101" t="s">
        <v>76</v>
      </c>
      <c r="J117" s="102"/>
      <c r="K117" s="104"/>
      <c r="L117" s="102"/>
      <c r="M117" s="100"/>
      <c r="N117" s="101" t="s">
        <v>76</v>
      </c>
      <c r="O117" s="6"/>
    </row>
    <row r="118" spans="1:15" s="25" customFormat="1" ht="12.75">
      <c r="A118" s="749" t="s">
        <v>12</v>
      </c>
      <c r="B118" s="449"/>
      <c r="C118" s="751" t="s">
        <v>51</v>
      </c>
      <c r="D118" s="449" t="s">
        <v>81</v>
      </c>
      <c r="E118" s="751" t="s">
        <v>218</v>
      </c>
      <c r="F118" s="751" t="s">
        <v>116</v>
      </c>
      <c r="G118" s="751" t="s">
        <v>115</v>
      </c>
      <c r="H118" s="447">
        <f t="shared" si="5"/>
        <v>201123.7</v>
      </c>
      <c r="I118" s="467" t="s">
        <v>76</v>
      </c>
      <c r="J118" s="467"/>
      <c r="K118" s="468">
        <f>195152.7+2985.5+2985.5</f>
        <v>201123.7</v>
      </c>
      <c r="L118" s="467"/>
      <c r="M118" s="467"/>
      <c r="N118" s="467" t="s">
        <v>76</v>
      </c>
      <c r="O118" s="6"/>
    </row>
    <row r="119" spans="1:15" s="25" customFormat="1" ht="12.75">
      <c r="A119" s="754"/>
      <c r="B119" s="449"/>
      <c r="C119" s="752"/>
      <c r="D119" s="449" t="s">
        <v>219</v>
      </c>
      <c r="E119" s="752"/>
      <c r="F119" s="752"/>
      <c r="G119" s="752"/>
      <c r="H119" s="447">
        <f t="shared" si="5"/>
        <v>188911.8</v>
      </c>
      <c r="I119" s="467" t="s">
        <v>76</v>
      </c>
      <c r="J119" s="467"/>
      <c r="K119" s="468">
        <f>148024.8+20443.5+20443.5</f>
        <v>188911.8</v>
      </c>
      <c r="L119" s="467"/>
      <c r="M119" s="467"/>
      <c r="N119" s="467" t="s">
        <v>76</v>
      </c>
      <c r="O119" s="6"/>
    </row>
    <row r="120" spans="1:15" s="25" customFormat="1" ht="12.75">
      <c r="A120" s="750"/>
      <c r="B120" s="449"/>
      <c r="C120" s="753"/>
      <c r="D120" s="449" t="s">
        <v>196</v>
      </c>
      <c r="E120" s="753"/>
      <c r="F120" s="753"/>
      <c r="G120" s="753"/>
      <c r="H120" s="447">
        <f t="shared" si="5"/>
        <v>12136.6</v>
      </c>
      <c r="I120" s="467"/>
      <c r="J120" s="467"/>
      <c r="K120" s="468">
        <f>7593.6+2271.5+2271.5</f>
        <v>12136.6</v>
      </c>
      <c r="L120" s="467"/>
      <c r="M120" s="467"/>
      <c r="N120" s="467" t="s">
        <v>76</v>
      </c>
      <c r="O120" s="6"/>
    </row>
    <row r="121" spans="1:15" s="25" customFormat="1" ht="12.75">
      <c r="A121" s="431" t="s">
        <v>362</v>
      </c>
      <c r="B121" s="9"/>
      <c r="C121" s="9" t="s">
        <v>51</v>
      </c>
      <c r="D121" s="9" t="s">
        <v>196</v>
      </c>
      <c r="E121" s="9" t="s">
        <v>218</v>
      </c>
      <c r="F121" s="9" t="s">
        <v>361</v>
      </c>
      <c r="G121" s="9" t="s">
        <v>115</v>
      </c>
      <c r="H121" s="126">
        <f t="shared" si="5"/>
        <v>2272.2</v>
      </c>
      <c r="I121" s="107"/>
      <c r="J121" s="107"/>
      <c r="K121" s="116">
        <v>2272.2</v>
      </c>
      <c r="L121" s="107"/>
      <c r="M121" s="107"/>
      <c r="N121" s="107" t="s">
        <v>76</v>
      </c>
      <c r="O121" s="6"/>
    </row>
    <row r="122" spans="1:15" s="25" customFormat="1" ht="39.75" customHeight="1">
      <c r="A122" s="431" t="s">
        <v>363</v>
      </c>
      <c r="B122" s="9"/>
      <c r="C122" s="9" t="s">
        <v>51</v>
      </c>
      <c r="D122" s="9" t="s">
        <v>196</v>
      </c>
      <c r="E122" s="9" t="s">
        <v>218</v>
      </c>
      <c r="F122" s="9" t="s">
        <v>240</v>
      </c>
      <c r="G122" s="9" t="s">
        <v>115</v>
      </c>
      <c r="H122" s="126">
        <f t="shared" si="5"/>
        <v>2625</v>
      </c>
      <c r="I122" s="107"/>
      <c r="J122" s="107"/>
      <c r="K122" s="116">
        <v>2625</v>
      </c>
      <c r="L122" s="107"/>
      <c r="M122" s="107"/>
      <c r="N122" s="107" t="s">
        <v>76</v>
      </c>
      <c r="O122" s="6"/>
    </row>
    <row r="123" spans="1:15" s="25" customFormat="1" ht="28.5" customHeight="1">
      <c r="A123" s="431" t="s">
        <v>364</v>
      </c>
      <c r="B123" s="9"/>
      <c r="C123" s="9" t="s">
        <v>51</v>
      </c>
      <c r="D123" s="9" t="s">
        <v>196</v>
      </c>
      <c r="E123" s="9" t="s">
        <v>218</v>
      </c>
      <c r="F123" s="9" t="s">
        <v>242</v>
      </c>
      <c r="G123" s="9" t="s">
        <v>115</v>
      </c>
      <c r="H123" s="126">
        <f t="shared" si="5"/>
        <v>3956.4</v>
      </c>
      <c r="I123" s="107"/>
      <c r="J123" s="107"/>
      <c r="K123" s="116">
        <v>3956.4</v>
      </c>
      <c r="L123" s="107"/>
      <c r="M123" s="107"/>
      <c r="N123" s="107" t="s">
        <v>76</v>
      </c>
      <c r="O123" s="6"/>
    </row>
    <row r="124" spans="1:15" s="25" customFormat="1" ht="12.75" hidden="1">
      <c r="A124" s="22" t="s">
        <v>359</v>
      </c>
      <c r="B124" s="9"/>
      <c r="C124" s="9" t="s">
        <v>51</v>
      </c>
      <c r="D124" s="9" t="s">
        <v>81</v>
      </c>
      <c r="E124" s="9" t="s">
        <v>218</v>
      </c>
      <c r="F124" s="9" t="s">
        <v>118</v>
      </c>
      <c r="G124" s="9" t="s">
        <v>115</v>
      </c>
      <c r="H124" s="126">
        <f>K124</f>
        <v>0</v>
      </c>
      <c r="I124" s="107" t="s">
        <v>76</v>
      </c>
      <c r="J124" s="107"/>
      <c r="K124" s="116"/>
      <c r="L124" s="101"/>
      <c r="M124" s="101"/>
      <c r="N124" s="101" t="s">
        <v>76</v>
      </c>
      <c r="O124" s="6"/>
    </row>
    <row r="125" spans="1:15" s="25" customFormat="1" ht="12.75" hidden="1">
      <c r="A125" s="684" t="s">
        <v>221</v>
      </c>
      <c r="B125" s="9"/>
      <c r="C125" s="678" t="s">
        <v>51</v>
      </c>
      <c r="D125" s="9" t="s">
        <v>81</v>
      </c>
      <c r="E125" s="678" t="s">
        <v>218</v>
      </c>
      <c r="F125" s="678" t="s">
        <v>119</v>
      </c>
      <c r="G125" s="678" t="s">
        <v>115</v>
      </c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6"/>
      <c r="B126" s="9"/>
      <c r="C126" s="680"/>
      <c r="D126" s="9" t="s">
        <v>196</v>
      </c>
      <c r="E126" s="680"/>
      <c r="F126" s="680"/>
      <c r="G126" s="680"/>
      <c r="H126" s="126">
        <f t="shared" si="5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5" customHeight="1">
      <c r="A127" s="681" t="s">
        <v>210</v>
      </c>
      <c r="B127" s="683"/>
      <c r="C127" s="27" t="s">
        <v>163</v>
      </c>
      <c r="D127" s="44"/>
      <c r="E127" s="3"/>
      <c r="F127" s="3"/>
      <c r="G127" s="3"/>
      <c r="H127" s="131"/>
      <c r="I127" s="117"/>
      <c r="J127" s="110"/>
      <c r="K127" s="120">
        <f>K128+K129</f>
        <v>950000</v>
      </c>
      <c r="L127" s="117"/>
      <c r="M127" s="117"/>
      <c r="N127" s="117"/>
      <c r="O127" s="6"/>
    </row>
    <row r="128" spans="1:15" s="25" customFormat="1" ht="15.75" customHeight="1">
      <c r="A128" s="22" t="s">
        <v>11</v>
      </c>
      <c r="B128" s="40"/>
      <c r="C128" s="41" t="s">
        <v>163</v>
      </c>
      <c r="D128" s="6" t="s">
        <v>162</v>
      </c>
      <c r="E128" s="9" t="s">
        <v>157</v>
      </c>
      <c r="F128" s="46">
        <v>225</v>
      </c>
      <c r="G128" s="9" t="s">
        <v>115</v>
      </c>
      <c r="H128" s="129" t="s">
        <v>76</v>
      </c>
      <c r="I128" s="107" t="s">
        <v>76</v>
      </c>
      <c r="J128" s="78"/>
      <c r="K128" s="116">
        <v>950000</v>
      </c>
      <c r="L128" s="107"/>
      <c r="M128" s="107"/>
      <c r="N128" s="107" t="s">
        <v>76</v>
      </c>
      <c r="O128" s="6"/>
    </row>
    <row r="129" spans="1:15" s="25" customFormat="1" ht="13.5" hidden="1">
      <c r="A129" s="47" t="s">
        <v>14</v>
      </c>
      <c r="B129" s="40"/>
      <c r="C129" s="41" t="s">
        <v>163</v>
      </c>
      <c r="D129" s="6" t="s">
        <v>162</v>
      </c>
      <c r="E129" s="9" t="s">
        <v>157</v>
      </c>
      <c r="F129" s="9" t="s">
        <v>118</v>
      </c>
      <c r="G129" s="9" t="s">
        <v>115</v>
      </c>
      <c r="H129" s="126"/>
      <c r="I129" s="107"/>
      <c r="J129" s="78"/>
      <c r="K129" s="116"/>
      <c r="L129" s="107"/>
      <c r="M129" s="107"/>
      <c r="N129" s="107"/>
      <c r="O129" s="6"/>
    </row>
    <row r="130" spans="1:15" s="25" customFormat="1" ht="15" customHeight="1" hidden="1">
      <c r="A130" s="681" t="s">
        <v>177</v>
      </c>
      <c r="B130" s="683"/>
      <c r="C130" s="27" t="s">
        <v>23</v>
      </c>
      <c r="D130" s="44"/>
      <c r="E130" s="3"/>
      <c r="F130" s="3"/>
      <c r="G130" s="3"/>
      <c r="H130" s="131"/>
      <c r="I130" s="117"/>
      <c r="J130" s="110"/>
      <c r="K130" s="118">
        <f>K131</f>
        <v>0</v>
      </c>
      <c r="L130" s="117"/>
      <c r="M130" s="117"/>
      <c r="N130" s="117"/>
      <c r="O130" s="6"/>
    </row>
    <row r="131" spans="1:15" s="25" customFormat="1" ht="15" customHeight="1" hidden="1">
      <c r="A131" s="22" t="s">
        <v>178</v>
      </c>
      <c r="B131" s="9"/>
      <c r="C131" s="9" t="s">
        <v>23</v>
      </c>
      <c r="D131" s="9" t="s">
        <v>81</v>
      </c>
      <c r="E131" s="9" t="s">
        <v>108</v>
      </c>
      <c r="F131" s="9" t="s">
        <v>116</v>
      </c>
      <c r="G131" s="9" t="s">
        <v>115</v>
      </c>
      <c r="H131" s="126"/>
      <c r="I131" s="107"/>
      <c r="J131" s="78"/>
      <c r="K131" s="116"/>
      <c r="L131" s="107"/>
      <c r="M131" s="107"/>
      <c r="N131" s="107"/>
      <c r="O131" s="6"/>
    </row>
    <row r="132" spans="1:15" s="25" customFormat="1" ht="29.25" customHeight="1" hidden="1">
      <c r="A132" s="681" t="s">
        <v>191</v>
      </c>
      <c r="B132" s="683"/>
      <c r="C132" s="27" t="s">
        <v>192</v>
      </c>
      <c r="D132" s="3"/>
      <c r="E132" s="3"/>
      <c r="F132" s="3"/>
      <c r="G132" s="3"/>
      <c r="H132" s="124">
        <f aca="true" t="shared" si="6" ref="H132:H138">K132</f>
        <v>0</v>
      </c>
      <c r="I132" s="119"/>
      <c r="J132" s="97"/>
      <c r="K132" s="97">
        <f>K133+K134</f>
        <v>0</v>
      </c>
      <c r="L132" s="117"/>
      <c r="M132" s="117"/>
      <c r="N132" s="117"/>
      <c r="O132" s="6"/>
    </row>
    <row r="133" spans="1:15" s="25" customFormat="1" ht="16.5" customHeight="1" hidden="1">
      <c r="A133" s="61" t="s">
        <v>195</v>
      </c>
      <c r="B133" s="67"/>
      <c r="C133" s="59" t="s">
        <v>192</v>
      </c>
      <c r="D133" s="59" t="s">
        <v>193</v>
      </c>
      <c r="E133" s="59" t="s">
        <v>108</v>
      </c>
      <c r="F133" s="59" t="s">
        <v>121</v>
      </c>
      <c r="G133" s="59" t="s">
        <v>194</v>
      </c>
      <c r="H133" s="127">
        <f t="shared" si="6"/>
        <v>0</v>
      </c>
      <c r="I133" s="101" t="s">
        <v>76</v>
      </c>
      <c r="J133" s="100"/>
      <c r="K133" s="104"/>
      <c r="L133" s="101"/>
      <c r="M133" s="101"/>
      <c r="N133" s="101" t="s">
        <v>76</v>
      </c>
      <c r="O133" s="6"/>
    </row>
    <row r="134" spans="1:15" s="25" customFormat="1" ht="16.5" customHeight="1" hidden="1">
      <c r="A134" s="61" t="s">
        <v>195</v>
      </c>
      <c r="B134" s="68"/>
      <c r="C134" s="59" t="s">
        <v>192</v>
      </c>
      <c r="D134" s="59" t="s">
        <v>196</v>
      </c>
      <c r="E134" s="59" t="s">
        <v>108</v>
      </c>
      <c r="F134" s="59" t="s">
        <v>121</v>
      </c>
      <c r="G134" s="59" t="s">
        <v>194</v>
      </c>
      <c r="H134" s="127">
        <f t="shared" si="6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>
      <c r="A135" s="39" t="s">
        <v>222</v>
      </c>
      <c r="B135" s="38"/>
      <c r="C135" s="27" t="s">
        <v>203</v>
      </c>
      <c r="D135" s="3"/>
      <c r="E135" s="3"/>
      <c r="F135" s="3"/>
      <c r="G135" s="3"/>
      <c r="H135" s="124">
        <f t="shared" si="6"/>
        <v>10000</v>
      </c>
      <c r="I135" s="117" t="s">
        <v>76</v>
      </c>
      <c r="J135" s="110"/>
      <c r="K135" s="120">
        <f>K136</f>
        <v>10000</v>
      </c>
      <c r="L135" s="117"/>
      <c r="M135" s="117"/>
      <c r="N135" s="117" t="s">
        <v>76</v>
      </c>
      <c r="O135" s="6"/>
    </row>
    <row r="136" spans="1:15" s="25" customFormat="1" ht="24" customHeight="1">
      <c r="A136" s="22" t="s">
        <v>236</v>
      </c>
      <c r="B136" s="40"/>
      <c r="C136" s="9" t="s">
        <v>203</v>
      </c>
      <c r="D136" s="9" t="s">
        <v>81</v>
      </c>
      <c r="E136" s="9" t="s">
        <v>108</v>
      </c>
      <c r="F136" s="9" t="s">
        <v>205</v>
      </c>
      <c r="G136" s="9" t="s">
        <v>123</v>
      </c>
      <c r="H136" s="126">
        <f t="shared" si="6"/>
        <v>10000</v>
      </c>
      <c r="I136" s="107" t="s">
        <v>76</v>
      </c>
      <c r="J136" s="78"/>
      <c r="K136" s="121">
        <v>10000</v>
      </c>
      <c r="L136" s="107"/>
      <c r="M136" s="107"/>
      <c r="N136" s="107" t="s">
        <v>76</v>
      </c>
      <c r="O136" s="6"/>
    </row>
    <row r="137" spans="1:15" s="25" customFormat="1" ht="12.75" hidden="1">
      <c r="A137" s="75" t="s">
        <v>226</v>
      </c>
      <c r="B137" s="58"/>
      <c r="C137" s="42" t="s">
        <v>23</v>
      </c>
      <c r="D137" s="42"/>
      <c r="E137" s="42"/>
      <c r="F137" s="42"/>
      <c r="G137" s="42"/>
      <c r="H137" s="125">
        <f t="shared" si="6"/>
        <v>0</v>
      </c>
      <c r="I137" s="119"/>
      <c r="J137" s="98"/>
      <c r="K137" s="97">
        <f>K138</f>
        <v>0</v>
      </c>
      <c r="L137" s="119"/>
      <c r="M137" s="119"/>
      <c r="N137" s="119"/>
      <c r="O137" s="6"/>
    </row>
    <row r="138" spans="1:15" s="25" customFormat="1" ht="12.75" hidden="1">
      <c r="A138" s="76" t="s">
        <v>227</v>
      </c>
      <c r="B138" s="57"/>
      <c r="C138" s="9" t="s">
        <v>23</v>
      </c>
      <c r="D138" s="9" t="s">
        <v>228</v>
      </c>
      <c r="E138" s="9" t="s">
        <v>157</v>
      </c>
      <c r="F138" s="9" t="s">
        <v>116</v>
      </c>
      <c r="G138" s="9" t="s">
        <v>115</v>
      </c>
      <c r="H138" s="129">
        <f t="shared" si="6"/>
        <v>0</v>
      </c>
      <c r="I138" s="107"/>
      <c r="J138" s="26"/>
      <c r="K138" s="78"/>
      <c r="L138" s="107"/>
      <c r="M138" s="107"/>
      <c r="N138" s="107"/>
      <c r="O138" s="6"/>
    </row>
    <row r="139" spans="1:15" s="25" customFormat="1" ht="12.75" hidden="1">
      <c r="A139" s="77" t="s">
        <v>231</v>
      </c>
      <c r="B139" s="58"/>
      <c r="C139" s="87" t="s">
        <v>230</v>
      </c>
      <c r="D139" s="53"/>
      <c r="E139" s="53"/>
      <c r="F139" s="53"/>
      <c r="G139" s="53"/>
      <c r="H139" s="124">
        <f>K139</f>
        <v>0</v>
      </c>
      <c r="I139" s="119"/>
      <c r="J139" s="97"/>
      <c r="K139" s="98">
        <f>K140</f>
        <v>0</v>
      </c>
      <c r="L139" s="119"/>
      <c r="M139" s="119"/>
      <c r="N139" s="119"/>
      <c r="O139" s="6"/>
    </row>
    <row r="140" spans="1:15" s="25" customFormat="1" ht="12.75" hidden="1">
      <c r="A140" s="22" t="s">
        <v>227</v>
      </c>
      <c r="B140" s="57"/>
      <c r="C140" s="9" t="s">
        <v>230</v>
      </c>
      <c r="D140" s="9" t="s">
        <v>81</v>
      </c>
      <c r="E140" s="9" t="s">
        <v>232</v>
      </c>
      <c r="F140" s="9" t="s">
        <v>116</v>
      </c>
      <c r="G140" s="9" t="s">
        <v>115</v>
      </c>
      <c r="H140" s="126">
        <f>K140</f>
        <v>0</v>
      </c>
      <c r="I140" s="107"/>
      <c r="J140" s="78"/>
      <c r="K140" s="26"/>
      <c r="L140" s="107"/>
      <c r="M140" s="107"/>
      <c r="N140" s="107"/>
      <c r="O140" s="6"/>
    </row>
    <row r="141" spans="1:15" s="25" customFormat="1" ht="29.25" customHeight="1">
      <c r="A141" s="681" t="s">
        <v>224</v>
      </c>
      <c r="B141" s="682"/>
      <c r="C141" s="27" t="s">
        <v>80</v>
      </c>
      <c r="D141" s="3"/>
      <c r="E141" s="3"/>
      <c r="F141" s="3"/>
      <c r="G141" s="3"/>
      <c r="H141" s="124">
        <f>N141</f>
        <v>99500.00000000001</v>
      </c>
      <c r="I141" s="119"/>
      <c r="J141" s="119"/>
      <c r="K141" s="119"/>
      <c r="L141" s="119"/>
      <c r="M141" s="119"/>
      <c r="N141" s="97">
        <f>SUM(N142:N151)</f>
        <v>99500.00000000001</v>
      </c>
      <c r="O141" s="6"/>
    </row>
    <row r="142" spans="1:15" s="25" customFormat="1" ht="13.5" customHeight="1" hidden="1">
      <c r="A142" s="45" t="s">
        <v>8</v>
      </c>
      <c r="B142" s="8"/>
      <c r="C142" s="9" t="s">
        <v>80</v>
      </c>
      <c r="D142" s="9" t="s">
        <v>81</v>
      </c>
      <c r="E142" s="9" t="s">
        <v>108</v>
      </c>
      <c r="F142" s="9" t="s">
        <v>128</v>
      </c>
      <c r="G142" s="9" t="s">
        <v>115</v>
      </c>
      <c r="H142" s="126">
        <f aca="true" t="shared" si="7" ref="H142:H149">N142</f>
        <v>0</v>
      </c>
      <c r="I142" s="107" t="s">
        <v>76</v>
      </c>
      <c r="J142" s="107" t="s">
        <v>76</v>
      </c>
      <c r="K142" s="107" t="s">
        <v>76</v>
      </c>
      <c r="L142" s="107" t="s">
        <v>76</v>
      </c>
      <c r="M142" s="107"/>
      <c r="N142" s="122"/>
      <c r="O142" s="6"/>
    </row>
    <row r="143" spans="1:15" s="25" customFormat="1" ht="13.5" customHeight="1" hidden="1">
      <c r="A143" s="22" t="s">
        <v>11</v>
      </c>
      <c r="B143" s="9"/>
      <c r="C143" s="9" t="s">
        <v>80</v>
      </c>
      <c r="D143" s="9" t="s">
        <v>81</v>
      </c>
      <c r="E143" s="9" t="s">
        <v>108</v>
      </c>
      <c r="F143" s="9" t="s">
        <v>121</v>
      </c>
      <c r="G143" s="9" t="s">
        <v>115</v>
      </c>
      <c r="H143" s="126">
        <f t="shared" si="7"/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>
      <c r="A144" s="22" t="s">
        <v>11</v>
      </c>
      <c r="B144" s="9"/>
      <c r="C144" s="9" t="s">
        <v>80</v>
      </c>
      <c r="D144" s="9" t="s">
        <v>81</v>
      </c>
      <c r="E144" s="9" t="s">
        <v>218</v>
      </c>
      <c r="F144" s="9" t="s">
        <v>121</v>
      </c>
      <c r="G144" s="9" t="s">
        <v>115</v>
      </c>
      <c r="H144" s="126">
        <f>N144</f>
        <v>2815.2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 t="s">
        <v>76</v>
      </c>
      <c r="N144" s="78">
        <v>2815.2</v>
      </c>
      <c r="O144" s="6"/>
    </row>
    <row r="145" spans="1:15" s="25" customFormat="1" ht="13.5" customHeight="1">
      <c r="A145" s="22" t="s">
        <v>12</v>
      </c>
      <c r="B145" s="9"/>
      <c r="C145" s="9" t="s">
        <v>80</v>
      </c>
      <c r="D145" s="9" t="s">
        <v>81</v>
      </c>
      <c r="E145" s="9" t="s">
        <v>218</v>
      </c>
      <c r="F145" s="9" t="s">
        <v>116</v>
      </c>
      <c r="G145" s="9" t="s">
        <v>115</v>
      </c>
      <c r="H145" s="126">
        <f t="shared" si="7"/>
        <v>13427.57</v>
      </c>
      <c r="I145" s="107" t="s">
        <v>76</v>
      </c>
      <c r="J145" s="107"/>
      <c r="K145" s="107" t="s">
        <v>76</v>
      </c>
      <c r="L145" s="107" t="s">
        <v>76</v>
      </c>
      <c r="M145" s="107"/>
      <c r="N145" s="433">
        <v>13427.57</v>
      </c>
      <c r="O145" s="6"/>
    </row>
    <row r="146" spans="1:15" s="25" customFormat="1" ht="13.5" customHeight="1">
      <c r="A146" s="22" t="s">
        <v>362</v>
      </c>
      <c r="B146" s="9"/>
      <c r="C146" s="9" t="s">
        <v>80</v>
      </c>
      <c r="D146" s="9" t="s">
        <v>81</v>
      </c>
      <c r="E146" s="9" t="s">
        <v>218</v>
      </c>
      <c r="F146" s="9" t="s">
        <v>361</v>
      </c>
      <c r="G146" s="9" t="s">
        <v>115</v>
      </c>
      <c r="H146" s="126">
        <f t="shared" si="7"/>
        <v>3408.3</v>
      </c>
      <c r="I146" s="107"/>
      <c r="J146" s="107"/>
      <c r="K146" s="107"/>
      <c r="L146" s="107"/>
      <c r="M146" s="107"/>
      <c r="N146" s="433">
        <v>3408.3</v>
      </c>
      <c r="O146" s="6"/>
    </row>
    <row r="147" spans="1:15" s="25" customFormat="1" ht="13.5" customHeight="1">
      <c r="A147" s="22" t="s">
        <v>12</v>
      </c>
      <c r="B147" s="9"/>
      <c r="C147" s="9" t="s">
        <v>80</v>
      </c>
      <c r="D147" s="9" t="s">
        <v>81</v>
      </c>
      <c r="E147" s="9" t="s">
        <v>108</v>
      </c>
      <c r="F147" s="9" t="s">
        <v>116</v>
      </c>
      <c r="G147" s="9" t="s">
        <v>115</v>
      </c>
      <c r="H147" s="126">
        <f>N147</f>
        <v>30000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 t="s">
        <v>76</v>
      </c>
      <c r="N147" s="78">
        <v>30000</v>
      </c>
      <c r="O147" s="6"/>
    </row>
    <row r="148" spans="1:15" s="25" customFormat="1" ht="13.5" customHeight="1">
      <c r="A148" s="22" t="s">
        <v>14</v>
      </c>
      <c r="B148" s="9"/>
      <c r="C148" s="9" t="s">
        <v>80</v>
      </c>
      <c r="D148" s="9" t="s">
        <v>81</v>
      </c>
      <c r="E148" s="9" t="s">
        <v>108</v>
      </c>
      <c r="F148" s="9" t="s">
        <v>118</v>
      </c>
      <c r="G148" s="9" t="s">
        <v>115</v>
      </c>
      <c r="H148" s="126">
        <f t="shared" si="7"/>
        <v>35000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/>
      <c r="N148" s="122">
        <v>35000</v>
      </c>
      <c r="O148" s="6"/>
    </row>
    <row r="149" spans="1:15" s="25" customFormat="1" ht="39" customHeight="1">
      <c r="A149" s="22" t="s">
        <v>363</v>
      </c>
      <c r="B149" s="9"/>
      <c r="C149" s="9" t="s">
        <v>80</v>
      </c>
      <c r="D149" s="9" t="s">
        <v>81</v>
      </c>
      <c r="E149" s="9" t="s">
        <v>218</v>
      </c>
      <c r="F149" s="9" t="s">
        <v>240</v>
      </c>
      <c r="G149" s="9" t="s">
        <v>115</v>
      </c>
      <c r="H149" s="126">
        <f t="shared" si="7"/>
        <v>3937.5</v>
      </c>
      <c r="I149" s="107" t="s">
        <v>76</v>
      </c>
      <c r="J149" s="107"/>
      <c r="K149" s="107" t="s">
        <v>76</v>
      </c>
      <c r="L149" s="107" t="s">
        <v>76</v>
      </c>
      <c r="M149" s="107"/>
      <c r="N149" s="99">
        <v>3937.5</v>
      </c>
      <c r="O149" s="6"/>
    </row>
    <row r="150" spans="1:15" s="25" customFormat="1" ht="30.75" customHeight="1">
      <c r="A150" s="431" t="s">
        <v>364</v>
      </c>
      <c r="B150" s="20"/>
      <c r="C150" s="9" t="s">
        <v>80</v>
      </c>
      <c r="D150" s="9" t="s">
        <v>81</v>
      </c>
      <c r="E150" s="9" t="s">
        <v>218</v>
      </c>
      <c r="F150" s="9" t="s">
        <v>242</v>
      </c>
      <c r="G150" s="9" t="s">
        <v>115</v>
      </c>
      <c r="H150" s="126">
        <f>N150</f>
        <v>7087.63</v>
      </c>
      <c r="I150" s="107" t="s">
        <v>76</v>
      </c>
      <c r="J150" s="108"/>
      <c r="K150" s="107" t="s">
        <v>76</v>
      </c>
      <c r="L150" s="108"/>
      <c r="M150" s="108"/>
      <c r="N150" s="78">
        <v>7087.63</v>
      </c>
      <c r="O150" s="6"/>
    </row>
    <row r="151" spans="1:15" s="25" customFormat="1" ht="30.75" customHeight="1">
      <c r="A151" s="431" t="s">
        <v>243</v>
      </c>
      <c r="B151" s="20"/>
      <c r="C151" s="9" t="s">
        <v>80</v>
      </c>
      <c r="D151" s="9" t="s">
        <v>81</v>
      </c>
      <c r="E151" s="9" t="s">
        <v>218</v>
      </c>
      <c r="F151" s="9" t="s">
        <v>244</v>
      </c>
      <c r="G151" s="9" t="s">
        <v>115</v>
      </c>
      <c r="H151" s="126">
        <f>N151</f>
        <v>3823.8</v>
      </c>
      <c r="I151" s="107"/>
      <c r="J151" s="108"/>
      <c r="K151" s="107"/>
      <c r="L151" s="108"/>
      <c r="M151" s="108"/>
      <c r="N151" s="78">
        <v>3823.8</v>
      </c>
      <c r="O151" s="6"/>
    </row>
    <row r="152" spans="1:15" s="25" customFormat="1" ht="27">
      <c r="A152" s="96" t="s">
        <v>129</v>
      </c>
      <c r="B152" s="32" t="s">
        <v>130</v>
      </c>
      <c r="C152" s="33" t="s">
        <v>76</v>
      </c>
      <c r="D152" s="33" t="s">
        <v>76</v>
      </c>
      <c r="E152" s="33" t="s">
        <v>76</v>
      </c>
      <c r="F152" s="33" t="s">
        <v>76</v>
      </c>
      <c r="G152" s="33" t="s">
        <v>76</v>
      </c>
      <c r="H152" s="130">
        <f>I152+N152+K152</f>
        <v>16689700</v>
      </c>
      <c r="I152" s="130">
        <f>I55+I58+I86+I87+I56+I71</f>
        <v>16679700</v>
      </c>
      <c r="J152" s="130"/>
      <c r="K152" s="130">
        <f>K136</f>
        <v>10000</v>
      </c>
      <c r="L152" s="134" t="s">
        <v>76</v>
      </c>
      <c r="M152" s="134" t="s">
        <v>76</v>
      </c>
      <c r="N152" s="130"/>
      <c r="O152" s="6" t="s">
        <v>76</v>
      </c>
    </row>
    <row r="153" spans="1:15" s="25" customFormat="1" ht="27">
      <c r="A153" s="96" t="s">
        <v>131</v>
      </c>
      <c r="B153" s="32" t="s">
        <v>132</v>
      </c>
      <c r="C153" s="33" t="s">
        <v>76</v>
      </c>
      <c r="D153" s="33" t="s">
        <v>76</v>
      </c>
      <c r="E153" s="33" t="s">
        <v>76</v>
      </c>
      <c r="F153" s="33" t="s">
        <v>76</v>
      </c>
      <c r="G153" s="33" t="s">
        <v>76</v>
      </c>
      <c r="H153" s="130">
        <f>H155+H154</f>
        <v>7306604.7</v>
      </c>
      <c r="I153" s="130">
        <f>I155+I154</f>
        <v>5028739</v>
      </c>
      <c r="J153" s="130">
        <f>J155+J154</f>
        <v>0</v>
      </c>
      <c r="K153" s="130">
        <f>K155+K154</f>
        <v>2178365.7</v>
      </c>
      <c r="L153" s="134"/>
      <c r="M153" s="134"/>
      <c r="N153" s="130">
        <f>N155+N154</f>
        <v>99500</v>
      </c>
      <c r="O153" s="6"/>
    </row>
    <row r="154" spans="1:15" s="25" customFormat="1" ht="24" customHeight="1">
      <c r="A154" s="96" t="s">
        <v>133</v>
      </c>
      <c r="B154" s="32" t="s">
        <v>134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0</v>
      </c>
      <c r="I154" s="130"/>
      <c r="J154" s="130"/>
      <c r="K154" s="130">
        <v>0</v>
      </c>
      <c r="L154" s="134"/>
      <c r="M154" s="134"/>
      <c r="N154" s="130">
        <v>0</v>
      </c>
      <c r="O154" s="6"/>
    </row>
    <row r="155" spans="1:15" s="25" customFormat="1" ht="12.75" customHeight="1">
      <c r="A155" s="96" t="s">
        <v>135</v>
      </c>
      <c r="B155" s="32" t="s">
        <v>136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I155+N155+K155</f>
        <v>7306604.7</v>
      </c>
      <c r="I155" s="130">
        <f>I60+I65+I66+I67+I68+I72+I77+I78+I80+I82+I83+I84+I85+I96+I91+I92+I73+I74+I75+I76+I93+I81+I70</f>
        <v>5028739</v>
      </c>
      <c r="J155" s="130"/>
      <c r="K155" s="130">
        <f>K100+K104+K133+K134+K118+K119+K120+K126+K128+K112+K113+K114+K115+K111+K138+K140+K125+K121+K122+K123+K106+K107++K108+K109</f>
        <v>2178365.7</v>
      </c>
      <c r="L155" s="134" t="s">
        <v>76</v>
      </c>
      <c r="M155" s="134" t="s">
        <v>76</v>
      </c>
      <c r="N155" s="130">
        <f>N142+N143+N145+N148+N149+N144+N147+N150+N146+N151</f>
        <v>99500</v>
      </c>
      <c r="O155" s="6" t="s">
        <v>76</v>
      </c>
    </row>
    <row r="156" spans="1:15" s="25" customFormat="1" ht="13.5" hidden="1">
      <c r="A156" s="8" t="s">
        <v>137</v>
      </c>
      <c r="B156" s="9" t="s">
        <v>138</v>
      </c>
      <c r="C156" s="34" t="s">
        <v>76</v>
      </c>
      <c r="D156" s="34" t="s">
        <v>76</v>
      </c>
      <c r="E156" s="34" t="s">
        <v>76</v>
      </c>
      <c r="F156" s="34" t="s">
        <v>76</v>
      </c>
      <c r="G156" s="34" t="s">
        <v>76</v>
      </c>
      <c r="H156" s="126">
        <f>I156+N156</f>
        <v>0</v>
      </c>
      <c r="I156" s="126">
        <v>0</v>
      </c>
      <c r="J156" s="126"/>
      <c r="K156" s="126"/>
      <c r="L156" s="135" t="s">
        <v>76</v>
      </c>
      <c r="M156" s="135" t="s">
        <v>76</v>
      </c>
      <c r="N156" s="126">
        <v>0</v>
      </c>
      <c r="O156" s="6" t="s">
        <v>76</v>
      </c>
    </row>
    <row r="157" spans="1:15" s="25" customFormat="1" ht="13.5" hidden="1">
      <c r="A157" s="20" t="s">
        <v>139</v>
      </c>
      <c r="B157" s="9" t="s">
        <v>118</v>
      </c>
      <c r="C157" s="34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126">
        <v>0</v>
      </c>
      <c r="I157" s="126">
        <v>0</v>
      </c>
      <c r="J157" s="126"/>
      <c r="K157" s="126"/>
      <c r="L157" s="135" t="s">
        <v>76</v>
      </c>
      <c r="M157" s="135" t="s">
        <v>76</v>
      </c>
      <c r="N157" s="126">
        <v>0</v>
      </c>
      <c r="O157" s="6" t="s">
        <v>76</v>
      </c>
    </row>
    <row r="158" spans="1:15" s="25" customFormat="1" ht="13.5" hidden="1">
      <c r="A158" s="20" t="s">
        <v>140</v>
      </c>
      <c r="B158" s="9" t="s">
        <v>141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142</v>
      </c>
      <c r="B159" s="9" t="s">
        <v>143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144</v>
      </c>
      <c r="B160" s="9" t="s">
        <v>145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146</v>
      </c>
      <c r="B161" s="9" t="s">
        <v>147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>
      <c r="A162" s="48" t="s">
        <v>137</v>
      </c>
      <c r="B162" s="49" t="s">
        <v>138</v>
      </c>
      <c r="C162" s="50" t="s">
        <v>173</v>
      </c>
      <c r="D162" s="49" t="s">
        <v>81</v>
      </c>
      <c r="E162" s="50" t="s">
        <v>174</v>
      </c>
      <c r="F162" s="50" t="s">
        <v>174</v>
      </c>
      <c r="G162" s="50" t="s">
        <v>175</v>
      </c>
      <c r="H162" s="132">
        <v>28653.9</v>
      </c>
      <c r="I162" s="136"/>
      <c r="J162" s="136"/>
      <c r="K162" s="136"/>
      <c r="L162" s="137"/>
      <c r="M162" s="137"/>
      <c r="N162" s="136"/>
      <c r="O162" s="6"/>
    </row>
    <row r="163" spans="1:15" s="25" customFormat="1" ht="13.5">
      <c r="A163" s="51" t="s">
        <v>142</v>
      </c>
      <c r="B163" s="49" t="s">
        <v>143</v>
      </c>
      <c r="C163" s="50" t="s">
        <v>173</v>
      </c>
      <c r="D163" s="49" t="s">
        <v>81</v>
      </c>
      <c r="E163" s="50" t="s">
        <v>174</v>
      </c>
      <c r="F163" s="50" t="s">
        <v>174</v>
      </c>
      <c r="G163" s="50" t="s">
        <v>176</v>
      </c>
      <c r="H163" s="132">
        <v>28653.9</v>
      </c>
      <c r="I163" s="136"/>
      <c r="J163" s="136"/>
      <c r="K163" s="136"/>
      <c r="L163" s="137"/>
      <c r="M163" s="137"/>
      <c r="N163" s="136"/>
      <c r="O163" s="6"/>
    </row>
    <row r="164" spans="1:15" s="25" customFormat="1" ht="13.5">
      <c r="A164" s="35" t="s">
        <v>148</v>
      </c>
      <c r="B164" s="36" t="s">
        <v>149</v>
      </c>
      <c r="C164" s="37" t="s">
        <v>76</v>
      </c>
      <c r="D164" s="37" t="s">
        <v>76</v>
      </c>
      <c r="E164" s="37" t="s">
        <v>76</v>
      </c>
      <c r="F164" s="37" t="s">
        <v>76</v>
      </c>
      <c r="G164" s="37" t="s">
        <v>76</v>
      </c>
      <c r="H164" s="133">
        <f>I164+K164+N164</f>
        <v>0</v>
      </c>
      <c r="I164" s="133">
        <v>0</v>
      </c>
      <c r="J164" s="133"/>
      <c r="K164" s="133"/>
      <c r="L164" s="138" t="s">
        <v>76</v>
      </c>
      <c r="M164" s="138" t="s">
        <v>76</v>
      </c>
      <c r="N164" s="133"/>
      <c r="O164" s="6" t="s">
        <v>76</v>
      </c>
    </row>
    <row r="165" spans="1:15" s="25" customFormat="1" ht="13.5">
      <c r="A165" s="20" t="s">
        <v>150</v>
      </c>
      <c r="B165" s="9" t="s">
        <v>151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7" ht="12.75">
      <c r="A167" s="88" t="s">
        <v>271</v>
      </c>
    </row>
    <row r="168" ht="12.75">
      <c r="A168" s="88"/>
    </row>
    <row r="169" ht="19.5" customHeight="1">
      <c r="A169" s="88" t="s">
        <v>17</v>
      </c>
    </row>
    <row r="170" ht="12.75">
      <c r="A170" s="88" t="s">
        <v>272</v>
      </c>
    </row>
    <row r="171" ht="12.75">
      <c r="A171" s="88"/>
    </row>
    <row r="172" ht="13.5" customHeight="1">
      <c r="A172" s="89"/>
    </row>
    <row r="173" ht="13.5" customHeight="1">
      <c r="A173" s="89"/>
    </row>
    <row r="174" ht="12.75" customHeight="1">
      <c r="A174" s="89"/>
    </row>
    <row r="175" ht="12.7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</sheetData>
  <sheetProtection/>
  <mergeCells count="83">
    <mergeCell ref="A132:B132"/>
    <mergeCell ref="A141:B141"/>
    <mergeCell ref="F125:F126"/>
    <mergeCell ref="C118:C120"/>
    <mergeCell ref="E118:E120"/>
    <mergeCell ref="F118:F120"/>
    <mergeCell ref="C125:C126"/>
    <mergeCell ref="E125:E126"/>
    <mergeCell ref="A130:B130"/>
    <mergeCell ref="G118:G120"/>
    <mergeCell ref="A127:B127"/>
    <mergeCell ref="G125:G126"/>
    <mergeCell ref="A97:B97"/>
    <mergeCell ref="A101:B101"/>
    <mergeCell ref="A105:B105"/>
    <mergeCell ref="A110:B110"/>
    <mergeCell ref="A116:B116"/>
    <mergeCell ref="A118:A120"/>
    <mergeCell ref="A125:A126"/>
    <mergeCell ref="G82:G83"/>
    <mergeCell ref="A84:A85"/>
    <mergeCell ref="C84:C85"/>
    <mergeCell ref="E84:E85"/>
    <mergeCell ref="F84:F85"/>
    <mergeCell ref="G84:G85"/>
    <mergeCell ref="A82:A83"/>
    <mergeCell ref="C82:C83"/>
    <mergeCell ref="E82:E83"/>
    <mergeCell ref="F82:F83"/>
    <mergeCell ref="F77:F78"/>
    <mergeCell ref="F44:F45"/>
    <mergeCell ref="A54:B54"/>
    <mergeCell ref="G67:G68"/>
    <mergeCell ref="E72:E73"/>
    <mergeCell ref="A44:A45"/>
    <mergeCell ref="C44:C45"/>
    <mergeCell ref="A60:A65"/>
    <mergeCell ref="C60:C65"/>
    <mergeCell ref="F60:F65"/>
    <mergeCell ref="C35:C38"/>
    <mergeCell ref="G77:G78"/>
    <mergeCell ref="F67:F68"/>
    <mergeCell ref="A79:B79"/>
    <mergeCell ref="A67:A68"/>
    <mergeCell ref="C67:C68"/>
    <mergeCell ref="E67:E68"/>
    <mergeCell ref="A77:A78"/>
    <mergeCell ref="C77:C78"/>
    <mergeCell ref="E77:E78"/>
    <mergeCell ref="A39:A41"/>
    <mergeCell ref="C39:C41"/>
    <mergeCell ref="F39:F41"/>
    <mergeCell ref="B15:B22"/>
    <mergeCell ref="A18:A22"/>
    <mergeCell ref="C18:C22"/>
    <mergeCell ref="F18:F22"/>
    <mergeCell ref="A29:A34"/>
    <mergeCell ref="F30:F34"/>
    <mergeCell ref="A35:A38"/>
    <mergeCell ref="J15:J16"/>
    <mergeCell ref="A16:A17"/>
    <mergeCell ref="C16:C17"/>
    <mergeCell ref="E16:E17"/>
    <mergeCell ref="F16:F17"/>
    <mergeCell ref="G16:G17"/>
    <mergeCell ref="B10:B14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PageLayoutView="0" workbookViewId="0" topLeftCell="A144">
      <selection activeCell="H155" sqref="H155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429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23996304.7</v>
      </c>
      <c r="I9" s="124">
        <f>I15</f>
        <v>21708439</v>
      </c>
      <c r="J9" s="124"/>
      <c r="K9" s="124">
        <f>K23</f>
        <v>2188365.7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21708439</v>
      </c>
      <c r="I15" s="78">
        <f>I16+I18+I19+I17+I22</f>
        <v>21708439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126">
        <f t="shared" si="0"/>
        <v>17351100</v>
      </c>
      <c r="I17" s="359">
        <f>16689500+661600</f>
        <v>17351100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2188365.7</v>
      </c>
      <c r="I23" s="102" t="s">
        <v>76</v>
      </c>
      <c r="J23" s="100"/>
      <c r="K23" s="100">
        <f>SUM(K24:K47)</f>
        <v>2188365.7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6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 hidden="1">
      <c r="A30" s="700"/>
      <c r="B30" s="62"/>
      <c r="C30" s="63" t="s">
        <v>50</v>
      </c>
      <c r="D30" s="393" t="s">
        <v>332</v>
      </c>
      <c r="E30" s="20"/>
      <c r="F30" s="695" t="s">
        <v>284</v>
      </c>
      <c r="G30" s="9"/>
      <c r="H30" s="25"/>
      <c r="I30" s="107" t="s">
        <v>76</v>
      </c>
      <c r="J30" s="108"/>
      <c r="K30" s="109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393" t="s">
        <v>214</v>
      </c>
      <c r="E31" s="9"/>
      <c r="F31" s="695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333</v>
      </c>
      <c r="E32" s="9"/>
      <c r="F32" s="695"/>
      <c r="G32" s="9"/>
      <c r="H32" s="126">
        <f aca="true" t="shared" si="1" ref="H32:H47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216</v>
      </c>
      <c r="E33" s="9"/>
      <c r="F33" s="695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5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>
      <c r="A35" s="741" t="s">
        <v>372</v>
      </c>
      <c r="B35" s="60"/>
      <c r="C35" s="693" t="s">
        <v>373</v>
      </c>
      <c r="D35" s="434" t="s">
        <v>332</v>
      </c>
      <c r="E35" s="9"/>
      <c r="F35" s="6" t="s">
        <v>284</v>
      </c>
      <c r="G35" s="9"/>
      <c r="H35" s="126">
        <f t="shared" si="1"/>
        <v>43200</v>
      </c>
      <c r="I35" s="107"/>
      <c r="J35" s="78"/>
      <c r="K35" s="78">
        <v>43200</v>
      </c>
      <c r="L35" s="26"/>
      <c r="M35" s="26"/>
      <c r="N35" s="107"/>
      <c r="O35" s="7"/>
    </row>
    <row r="36" spans="1:15" ht="12.75" customHeight="1">
      <c r="A36" s="742"/>
      <c r="B36" s="60"/>
      <c r="C36" s="697"/>
      <c r="D36" s="434" t="s">
        <v>214</v>
      </c>
      <c r="E36" s="9"/>
      <c r="F36" s="6" t="s">
        <v>284</v>
      </c>
      <c r="G36" s="9"/>
      <c r="H36" s="126">
        <f t="shared" si="1"/>
        <v>4800</v>
      </c>
      <c r="I36" s="107"/>
      <c r="J36" s="78"/>
      <c r="K36" s="78">
        <v>4800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333</v>
      </c>
      <c r="E37" s="9"/>
      <c r="F37" s="6" t="s">
        <v>284</v>
      </c>
      <c r="G37" s="9"/>
      <c r="H37" s="126">
        <f t="shared" si="1"/>
        <v>10800</v>
      </c>
      <c r="I37" s="107"/>
      <c r="J37" s="78"/>
      <c r="K37" s="78">
        <v>10800</v>
      </c>
      <c r="L37" s="26"/>
      <c r="M37" s="26"/>
      <c r="N37" s="107"/>
      <c r="O37" s="7"/>
    </row>
    <row r="38" spans="1:15" ht="12.75" customHeight="1">
      <c r="A38" s="743"/>
      <c r="B38" s="60"/>
      <c r="C38" s="694"/>
      <c r="D38" s="434" t="s">
        <v>216</v>
      </c>
      <c r="E38" s="9"/>
      <c r="F38" s="6" t="s">
        <v>284</v>
      </c>
      <c r="G38" s="9"/>
      <c r="H38" s="126">
        <f t="shared" si="1"/>
        <v>1200</v>
      </c>
      <c r="I38" s="107"/>
      <c r="J38" s="78"/>
      <c r="K38" s="78">
        <v>1200</v>
      </c>
      <c r="L38" s="26"/>
      <c r="M38" s="26"/>
      <c r="N38" s="107"/>
      <c r="O38" s="7"/>
    </row>
    <row r="39" spans="1:15" ht="12.75">
      <c r="A39" s="711" t="s">
        <v>155</v>
      </c>
      <c r="B39" s="62"/>
      <c r="C39" s="698" t="s">
        <v>51</v>
      </c>
      <c r="D39" s="6" t="s">
        <v>81</v>
      </c>
      <c r="E39" s="9"/>
      <c r="F39" s="693" t="s">
        <v>284</v>
      </c>
      <c r="G39" s="9"/>
      <c r="H39" s="126">
        <f t="shared" si="1"/>
        <v>201123.7</v>
      </c>
      <c r="I39" s="107" t="s">
        <v>76</v>
      </c>
      <c r="J39" s="78"/>
      <c r="K39" s="78">
        <f>195152.7+2985.5+2985.5</f>
        <v>201123.7</v>
      </c>
      <c r="L39" s="26"/>
      <c r="M39" s="26"/>
      <c r="N39" s="107" t="s">
        <v>76</v>
      </c>
      <c r="O39" s="7"/>
    </row>
    <row r="40" spans="1:21" ht="12.75">
      <c r="A40" s="711"/>
      <c r="B40" s="62"/>
      <c r="C40" s="698"/>
      <c r="D40" s="6" t="s">
        <v>166</v>
      </c>
      <c r="E40" s="9"/>
      <c r="F40" s="697"/>
      <c r="G40" s="9"/>
      <c r="H40" s="126">
        <f t="shared" si="1"/>
        <v>188911.8</v>
      </c>
      <c r="I40" s="107" t="s">
        <v>76</v>
      </c>
      <c r="J40" s="78"/>
      <c r="K40" s="78">
        <f>148024.8+20443.5+20443.5</f>
        <v>188911.8</v>
      </c>
      <c r="L40" s="26"/>
      <c r="M40" s="26"/>
      <c r="N40" s="107" t="s">
        <v>76</v>
      </c>
      <c r="O40" s="7"/>
      <c r="U40" s="392"/>
    </row>
    <row r="41" spans="1:15" ht="12.75">
      <c r="A41" s="711"/>
      <c r="B41" s="62"/>
      <c r="C41" s="698"/>
      <c r="D41" s="9" t="s">
        <v>196</v>
      </c>
      <c r="E41" s="9"/>
      <c r="F41" s="694"/>
      <c r="G41" s="9"/>
      <c r="H41" s="126">
        <f t="shared" si="1"/>
        <v>20990.2</v>
      </c>
      <c r="I41" s="107" t="s">
        <v>76</v>
      </c>
      <c r="J41" s="78"/>
      <c r="K41" s="78">
        <f>16447.2+2271.5+2271.5</f>
        <v>20990.2</v>
      </c>
      <c r="L41" s="26"/>
      <c r="M41" s="26"/>
      <c r="N41" s="107" t="s">
        <v>76</v>
      </c>
      <c r="O41" s="7"/>
    </row>
    <row r="42" spans="1:15" ht="63.75">
      <c r="A42" s="65" t="s">
        <v>43</v>
      </c>
      <c r="B42" s="66"/>
      <c r="C42" s="368" t="s">
        <v>42</v>
      </c>
      <c r="D42" s="6" t="s">
        <v>162</v>
      </c>
      <c r="E42" s="9"/>
      <c r="F42" s="6" t="s">
        <v>284</v>
      </c>
      <c r="G42" s="9"/>
      <c r="H42" s="126">
        <f t="shared" si="1"/>
        <v>950000</v>
      </c>
      <c r="I42" s="107" t="s">
        <v>76</v>
      </c>
      <c r="J42" s="78"/>
      <c r="K42" s="78">
        <v>950000</v>
      </c>
      <c r="L42" s="26"/>
      <c r="M42" s="26"/>
      <c r="N42" s="107" t="s">
        <v>76</v>
      </c>
      <c r="O42" s="7"/>
    </row>
    <row r="43" spans="1:21" ht="25.5">
      <c r="A43" s="65" t="s">
        <v>225</v>
      </c>
      <c r="B43" s="66"/>
      <c r="C43" s="59" t="s">
        <v>203</v>
      </c>
      <c r="D43" s="59" t="s">
        <v>81</v>
      </c>
      <c r="E43" s="59"/>
      <c r="F43" s="6" t="s">
        <v>284</v>
      </c>
      <c r="G43" s="9"/>
      <c r="H43" s="126">
        <f t="shared" si="1"/>
        <v>10000</v>
      </c>
      <c r="I43" s="107" t="s">
        <v>76</v>
      </c>
      <c r="J43" s="78"/>
      <c r="K43" s="78">
        <v>10000</v>
      </c>
      <c r="L43" s="26"/>
      <c r="M43" s="26"/>
      <c r="N43" s="107" t="s">
        <v>76</v>
      </c>
      <c r="O43" s="7"/>
      <c r="U43" s="469"/>
    </row>
    <row r="44" spans="1:15" ht="21" customHeight="1" hidden="1">
      <c r="A44" s="689" t="s">
        <v>199</v>
      </c>
      <c r="B44" s="66"/>
      <c r="C44" s="690" t="s">
        <v>192</v>
      </c>
      <c r="D44" s="59" t="s">
        <v>193</v>
      </c>
      <c r="E44" s="59"/>
      <c r="F44" s="693" t="s">
        <v>209</v>
      </c>
      <c r="G44" s="9"/>
      <c r="H44" s="126">
        <f t="shared" si="1"/>
        <v>0</v>
      </c>
      <c r="I44" s="107" t="s">
        <v>76</v>
      </c>
      <c r="J44" s="78"/>
      <c r="K44" s="78"/>
      <c r="L44" s="26"/>
      <c r="M44" s="26"/>
      <c r="N44" s="107" t="s">
        <v>76</v>
      </c>
      <c r="O44" s="7"/>
    </row>
    <row r="45" spans="1:15" ht="18" customHeight="1" hidden="1">
      <c r="A45" s="689"/>
      <c r="B45" s="66"/>
      <c r="C45" s="690"/>
      <c r="D45" s="59" t="s">
        <v>196</v>
      </c>
      <c r="E45" s="59"/>
      <c r="F45" s="694"/>
      <c r="G45" s="9"/>
      <c r="H45" s="126">
        <f t="shared" si="1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38.25" hidden="1">
      <c r="A46" s="22" t="s">
        <v>49</v>
      </c>
      <c r="B46" s="6"/>
      <c r="C46" s="6" t="s">
        <v>23</v>
      </c>
      <c r="D46" s="6" t="s">
        <v>228</v>
      </c>
      <c r="E46" s="6"/>
      <c r="F46" s="6" t="s">
        <v>209</v>
      </c>
      <c r="G46" s="6"/>
      <c r="H46" s="129">
        <f t="shared" si="1"/>
        <v>0</v>
      </c>
      <c r="I46" s="26"/>
      <c r="J46" s="26"/>
      <c r="K46" s="78"/>
      <c r="L46" s="26"/>
      <c r="M46" s="26"/>
      <c r="N46" s="26"/>
      <c r="O46" s="7"/>
    </row>
    <row r="47" spans="1:15" ht="22.5" customHeight="1" hidden="1">
      <c r="A47" s="8" t="s">
        <v>229</v>
      </c>
      <c r="B47" s="6"/>
      <c r="C47" s="22" t="s">
        <v>230</v>
      </c>
      <c r="D47" s="6" t="s">
        <v>81</v>
      </c>
      <c r="E47" s="9"/>
      <c r="F47" s="15" t="s">
        <v>209</v>
      </c>
      <c r="G47" s="9"/>
      <c r="H47" s="126">
        <f t="shared" si="1"/>
        <v>0</v>
      </c>
      <c r="I47" s="107"/>
      <c r="J47" s="78"/>
      <c r="K47" s="26"/>
      <c r="L47" s="26"/>
      <c r="M47" s="26"/>
      <c r="N47" s="26"/>
      <c r="O47" s="7"/>
    </row>
    <row r="48" spans="1:21" s="25" customFormat="1" ht="17.25" customHeight="1">
      <c r="A48" s="23" t="s">
        <v>94</v>
      </c>
      <c r="B48" s="24" t="s">
        <v>95</v>
      </c>
      <c r="C48" s="56" t="s">
        <v>76</v>
      </c>
      <c r="D48" s="56" t="s">
        <v>76</v>
      </c>
      <c r="E48" s="56" t="s">
        <v>76</v>
      </c>
      <c r="F48" s="56" t="s">
        <v>76</v>
      </c>
      <c r="G48" s="56" t="s">
        <v>76</v>
      </c>
      <c r="H48" s="130">
        <f>I48+N48+K48</f>
        <v>23996304.7</v>
      </c>
      <c r="I48" s="130">
        <f>I54+I79+I97</f>
        <v>21708439</v>
      </c>
      <c r="J48" s="130"/>
      <c r="K48" s="130">
        <f>K97+K101+K103+K116+K127+K130+K132+K110+K135+K137+K139+K105</f>
        <v>2188365.7</v>
      </c>
      <c r="L48" s="130"/>
      <c r="M48" s="130"/>
      <c r="N48" s="130">
        <f>N141</f>
        <v>99500.00000000001</v>
      </c>
      <c r="O48" s="95"/>
      <c r="U48" s="380"/>
    </row>
    <row r="49" spans="1:15" s="25" customFormat="1" ht="18" customHeight="1">
      <c r="A49" s="8" t="s">
        <v>96</v>
      </c>
      <c r="B49" s="9" t="s">
        <v>97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f>I49+N49</f>
        <v>16583596</v>
      </c>
      <c r="I49" s="78">
        <f>I50+I52</f>
        <v>16583596</v>
      </c>
      <c r="J49" s="78"/>
      <c r="K49" s="78"/>
      <c r="L49" s="78"/>
      <c r="M49" s="78"/>
      <c r="N49" s="78"/>
      <c r="O49" s="7" t="s">
        <v>76</v>
      </c>
    </row>
    <row r="50" spans="1:15" s="25" customFormat="1" ht="25.5">
      <c r="A50" s="22" t="s">
        <v>98</v>
      </c>
      <c r="B50" s="9" t="s">
        <v>99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16583596</v>
      </c>
      <c r="I50" s="78">
        <f>I55+I56+I58+I59</f>
        <v>16583596</v>
      </c>
      <c r="J50" s="78"/>
      <c r="K50" s="78"/>
      <c r="L50" s="78"/>
      <c r="M50" s="78"/>
      <c r="N50" s="78"/>
      <c r="O50" s="7" t="s">
        <v>76</v>
      </c>
    </row>
    <row r="51" spans="1:15" s="25" customFormat="1" ht="9.75" customHeight="1" hidden="1">
      <c r="A51" s="8" t="s">
        <v>100</v>
      </c>
      <c r="B51" s="9" t="s">
        <v>101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/>
      <c r="I51" s="78"/>
      <c r="J51" s="78"/>
      <c r="K51" s="78"/>
      <c r="L51" s="78"/>
      <c r="M51" s="78"/>
      <c r="N51" s="78"/>
      <c r="O51" s="7" t="s">
        <v>76</v>
      </c>
    </row>
    <row r="52" spans="1:15" s="25" customFormat="1" ht="25.5" hidden="1">
      <c r="A52" s="8" t="s">
        <v>102</v>
      </c>
      <c r="B52" s="9" t="s">
        <v>103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0</v>
      </c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13.5" customHeight="1" hidden="1">
      <c r="A53" s="8" t="s">
        <v>104</v>
      </c>
      <c r="B53" s="9" t="s">
        <v>105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v>0</v>
      </c>
      <c r="I53" s="78">
        <v>0</v>
      </c>
      <c r="J53" s="78"/>
      <c r="K53" s="78"/>
      <c r="L53" s="78"/>
      <c r="M53" s="78"/>
      <c r="N53" s="78"/>
      <c r="O53" s="21"/>
    </row>
    <row r="54" spans="1:15" s="25" customFormat="1" ht="29.25" customHeight="1">
      <c r="A54" s="681" t="s">
        <v>428</v>
      </c>
      <c r="B54" s="683"/>
      <c r="C54" s="27" t="s">
        <v>18</v>
      </c>
      <c r="D54" s="3"/>
      <c r="E54" s="27"/>
      <c r="F54" s="3"/>
      <c r="G54" s="3"/>
      <c r="H54" s="124">
        <f>SUM(H55:H78)</f>
        <v>17759400</v>
      </c>
      <c r="I54" s="97">
        <f>SUM(I55:I78)</f>
        <v>17759400</v>
      </c>
      <c r="J54" s="110"/>
      <c r="K54" s="111" t="s">
        <v>107</v>
      </c>
      <c r="L54" s="111"/>
      <c r="M54" s="111"/>
      <c r="N54" s="111" t="s">
        <v>107</v>
      </c>
      <c r="O54" s="28"/>
    </row>
    <row r="55" spans="1:15" s="25" customFormat="1" ht="12.75">
      <c r="A55" s="453" t="s">
        <v>4</v>
      </c>
      <c r="B55" s="449"/>
      <c r="C55" s="472" t="s">
        <v>18</v>
      </c>
      <c r="D55" s="451">
        <v>14130030000000000</v>
      </c>
      <c r="E55" s="472" t="s">
        <v>108</v>
      </c>
      <c r="F55" s="472" t="s">
        <v>99</v>
      </c>
      <c r="G55" s="472" t="s">
        <v>109</v>
      </c>
      <c r="H55" s="447">
        <f>I55</f>
        <v>12728596</v>
      </c>
      <c r="I55" s="473">
        <f>12739000-10404</f>
        <v>12728596</v>
      </c>
      <c r="J55" s="363"/>
      <c r="K55" s="467" t="s">
        <v>76</v>
      </c>
      <c r="L55" s="467" t="s">
        <v>76</v>
      </c>
      <c r="M55" s="467" t="s">
        <v>76</v>
      </c>
      <c r="N55" s="467" t="s">
        <v>76</v>
      </c>
      <c r="O55" s="6" t="s">
        <v>76</v>
      </c>
    </row>
    <row r="56" spans="1:15" s="25" customFormat="1" ht="15.75" customHeight="1" hidden="1">
      <c r="A56" s="22" t="s">
        <v>5</v>
      </c>
      <c r="B56" s="9"/>
      <c r="C56" s="6" t="s">
        <v>18</v>
      </c>
      <c r="D56" s="9" t="s">
        <v>81</v>
      </c>
      <c r="E56" s="6" t="s">
        <v>108</v>
      </c>
      <c r="F56" s="6" t="s">
        <v>110</v>
      </c>
      <c r="G56" s="6" t="s">
        <v>111</v>
      </c>
      <c r="H56" s="126">
        <f>I56</f>
        <v>0</v>
      </c>
      <c r="I56" s="78"/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/>
    </row>
    <row r="57" spans="1:15" s="25" customFormat="1" ht="12.75" hidden="1">
      <c r="A57" s="22" t="s">
        <v>5</v>
      </c>
      <c r="B57" s="9"/>
      <c r="C57" s="9"/>
      <c r="D57" s="15"/>
      <c r="E57" s="9"/>
      <c r="F57" s="9" t="s">
        <v>110</v>
      </c>
      <c r="G57" s="9" t="s">
        <v>111</v>
      </c>
      <c r="H57" s="126">
        <f aca="true" t="shared" si="2" ref="H57:H78"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2.75">
      <c r="A58" s="81" t="s">
        <v>6</v>
      </c>
      <c r="B58" s="9"/>
      <c r="C58" s="6" t="s">
        <v>18</v>
      </c>
      <c r="D58" s="14">
        <v>14130030000000000</v>
      </c>
      <c r="E58" s="6" t="s">
        <v>108</v>
      </c>
      <c r="F58" s="6" t="s">
        <v>112</v>
      </c>
      <c r="G58" s="6" t="s">
        <v>113</v>
      </c>
      <c r="H58" s="126">
        <f t="shared" si="2"/>
        <v>3855000</v>
      </c>
      <c r="I58" s="78">
        <v>3855000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 hidden="1">
      <c r="A59" s="86"/>
      <c r="B59" s="12"/>
      <c r="C59" s="60"/>
      <c r="D59" s="30">
        <v>14130030000000000</v>
      </c>
      <c r="E59" s="29"/>
      <c r="F59" s="31"/>
      <c r="G59" s="31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/>
    </row>
    <row r="60" spans="1:15" s="25" customFormat="1" ht="13.5" customHeight="1">
      <c r="A60" s="691" t="s">
        <v>7</v>
      </c>
      <c r="B60" s="9"/>
      <c r="C60" s="693" t="s">
        <v>18</v>
      </c>
      <c r="D60" s="9" t="s">
        <v>81</v>
      </c>
      <c r="E60" s="9" t="s">
        <v>108</v>
      </c>
      <c r="F60" s="693" t="s">
        <v>114</v>
      </c>
      <c r="G60" s="9" t="s">
        <v>115</v>
      </c>
      <c r="H60" s="126">
        <f t="shared" si="2"/>
        <v>32600</v>
      </c>
      <c r="I60" s="113">
        <v>32600</v>
      </c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 hidden="1">
      <c r="A61" s="696"/>
      <c r="B61" s="9"/>
      <c r="C61" s="697"/>
      <c r="D61" s="15"/>
      <c r="E61" s="9"/>
      <c r="F61" s="697"/>
      <c r="G61" s="9" t="s">
        <v>115</v>
      </c>
      <c r="H61" s="126">
        <f t="shared" si="2"/>
        <v>0</v>
      </c>
      <c r="I61" s="78"/>
      <c r="J61" s="100"/>
      <c r="K61" s="101" t="s">
        <v>76</v>
      </c>
      <c r="L61" s="101" t="s">
        <v>76</v>
      </c>
      <c r="M61" s="101" t="s">
        <v>76</v>
      </c>
      <c r="N61" s="101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/>
      <c r="H62" s="126">
        <f t="shared" si="2"/>
        <v>0</v>
      </c>
      <c r="I62" s="78"/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2"/>
        <v>0</v>
      </c>
      <c r="I63" s="78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12.75" customHeight="1">
      <c r="A65" s="692"/>
      <c r="B65" s="9"/>
      <c r="C65" s="694"/>
      <c r="D65" s="14">
        <v>14130030000000000</v>
      </c>
      <c r="E65" s="9" t="s">
        <v>108</v>
      </c>
      <c r="F65" s="694"/>
      <c r="G65" s="9" t="s">
        <v>115</v>
      </c>
      <c r="H65" s="126">
        <f t="shared" si="2"/>
        <v>50155</v>
      </c>
      <c r="I65" s="106">
        <f>30000+20155</f>
        <v>50155</v>
      </c>
      <c r="J65" s="100"/>
      <c r="K65" s="101" t="s">
        <v>76</v>
      </c>
      <c r="L65" s="101"/>
      <c r="M65" s="101"/>
      <c r="N65" s="101" t="s">
        <v>76</v>
      </c>
      <c r="O65" s="6"/>
    </row>
    <row r="66" spans="1:15" s="25" customFormat="1" ht="12.75" customHeight="1">
      <c r="A66" s="16" t="s">
        <v>8</v>
      </c>
      <c r="B66" s="9"/>
      <c r="C66" s="6" t="s">
        <v>18</v>
      </c>
      <c r="D66" s="9" t="s">
        <v>81</v>
      </c>
      <c r="E66" s="10" t="s">
        <v>108</v>
      </c>
      <c r="F66" s="11" t="s">
        <v>128</v>
      </c>
      <c r="G66" s="10" t="s">
        <v>115</v>
      </c>
      <c r="H66" s="126">
        <f t="shared" si="2"/>
        <v>102000</v>
      </c>
      <c r="I66" s="113">
        <v>102000</v>
      </c>
      <c r="J66" s="100"/>
      <c r="K66" s="101" t="s">
        <v>76</v>
      </c>
      <c r="L66" s="101"/>
      <c r="M66" s="101"/>
      <c r="N66" s="101" t="s">
        <v>76</v>
      </c>
      <c r="O66" s="6"/>
    </row>
    <row r="67" spans="1:15" s="25" customFormat="1" ht="12.75">
      <c r="A67" s="684" t="s">
        <v>12</v>
      </c>
      <c r="B67" s="9"/>
      <c r="C67" s="693" t="s">
        <v>18</v>
      </c>
      <c r="D67" s="9" t="s">
        <v>81</v>
      </c>
      <c r="E67" s="693" t="s">
        <v>108</v>
      </c>
      <c r="F67" s="693" t="s">
        <v>116</v>
      </c>
      <c r="G67" s="693" t="s">
        <v>115</v>
      </c>
      <c r="H67" s="126">
        <f t="shared" si="2"/>
        <v>250700</v>
      </c>
      <c r="I67" s="113">
        <f>216300+56000-21600</f>
        <v>250700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12.75">
      <c r="A68" s="686"/>
      <c r="B68" s="9"/>
      <c r="C68" s="694"/>
      <c r="D68" s="14">
        <v>14130030000000000</v>
      </c>
      <c r="E68" s="694"/>
      <c r="F68" s="694"/>
      <c r="G68" s="694"/>
      <c r="H68" s="126">
        <f t="shared" si="2"/>
        <v>0</v>
      </c>
      <c r="I68" s="79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12.75">
      <c r="A69" s="22" t="s">
        <v>13</v>
      </c>
      <c r="B69" s="9"/>
      <c r="C69" s="9"/>
      <c r="D69" s="15"/>
      <c r="E69" s="9"/>
      <c r="F69" s="9" t="s">
        <v>117</v>
      </c>
      <c r="G69" s="9" t="s">
        <v>115</v>
      </c>
      <c r="H69" s="126">
        <f>I69</f>
        <v>0</v>
      </c>
      <c r="I69" s="78"/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 t="s">
        <v>76</v>
      </c>
    </row>
    <row r="70" spans="1:15" s="25" customFormat="1" ht="12.75">
      <c r="A70" s="22" t="s">
        <v>427</v>
      </c>
      <c r="B70" s="9"/>
      <c r="C70" s="6" t="s">
        <v>18</v>
      </c>
      <c r="D70" s="9" t="s">
        <v>81</v>
      </c>
      <c r="E70" s="471" t="s">
        <v>232</v>
      </c>
      <c r="F70" s="9" t="s">
        <v>116</v>
      </c>
      <c r="G70" s="10" t="s">
        <v>115</v>
      </c>
      <c r="H70" s="126">
        <f t="shared" si="2"/>
        <v>21600</v>
      </c>
      <c r="I70" s="78">
        <v>21600</v>
      </c>
      <c r="J70" s="100"/>
      <c r="K70" s="101"/>
      <c r="L70" s="101"/>
      <c r="M70" s="101"/>
      <c r="N70" s="101"/>
      <c r="O70" s="6"/>
    </row>
    <row r="71" spans="1:15" s="25" customFormat="1" ht="25.5">
      <c r="A71" s="453" t="s">
        <v>245</v>
      </c>
      <c r="B71" s="449"/>
      <c r="C71" s="449" t="s">
        <v>18</v>
      </c>
      <c r="D71" s="451">
        <v>14130010000000000</v>
      </c>
      <c r="E71" s="449" t="s">
        <v>108</v>
      </c>
      <c r="F71" s="449" t="s">
        <v>246</v>
      </c>
      <c r="G71" s="470" t="s">
        <v>109</v>
      </c>
      <c r="H71" s="447">
        <f>I71</f>
        <v>35904</v>
      </c>
      <c r="I71" s="363">
        <f>25500+10404</f>
        <v>35904</v>
      </c>
      <c r="J71" s="363"/>
      <c r="K71" s="467" t="s">
        <v>76</v>
      </c>
      <c r="L71" s="467" t="s">
        <v>76</v>
      </c>
      <c r="M71" s="467" t="s">
        <v>76</v>
      </c>
      <c r="N71" s="467" t="s">
        <v>76</v>
      </c>
      <c r="O71" s="6"/>
    </row>
    <row r="72" spans="1:15" s="25" customFormat="1" ht="12.75">
      <c r="A72" s="22" t="s">
        <v>14</v>
      </c>
      <c r="B72" s="9"/>
      <c r="C72" s="9" t="s">
        <v>18</v>
      </c>
      <c r="D72" s="14">
        <v>14130030000000000</v>
      </c>
      <c r="E72" s="695" t="s">
        <v>108</v>
      </c>
      <c r="F72" s="9" t="s">
        <v>118</v>
      </c>
      <c r="G72" s="9" t="s">
        <v>115</v>
      </c>
      <c r="H72" s="126">
        <f t="shared" si="2"/>
        <v>641445</v>
      </c>
      <c r="I72" s="79">
        <v>641445</v>
      </c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 t="s">
        <v>76</v>
      </c>
    </row>
    <row r="73" spans="1:15" s="25" customFormat="1" ht="51" hidden="1">
      <c r="A73" s="82" t="s">
        <v>237</v>
      </c>
      <c r="B73" s="9"/>
      <c r="C73" s="83" t="s">
        <v>18</v>
      </c>
      <c r="D73" s="9" t="s">
        <v>81</v>
      </c>
      <c r="E73" s="695"/>
      <c r="F73" s="84" t="s">
        <v>238</v>
      </c>
      <c r="G73" s="84" t="s">
        <v>115</v>
      </c>
      <c r="H73" s="126">
        <f t="shared" si="2"/>
        <v>0</v>
      </c>
      <c r="I73" s="113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/>
    </row>
    <row r="74" spans="1:15" s="25" customFormat="1" ht="38.25">
      <c r="A74" s="82" t="s">
        <v>239</v>
      </c>
      <c r="B74" s="9"/>
      <c r="C74" s="83" t="s">
        <v>18</v>
      </c>
      <c r="D74" s="9" t="s">
        <v>81</v>
      </c>
      <c r="E74" s="83" t="s">
        <v>108</v>
      </c>
      <c r="F74" s="84" t="s">
        <v>240</v>
      </c>
      <c r="G74" s="84" t="s">
        <v>115</v>
      </c>
      <c r="H74" s="126">
        <f t="shared" si="2"/>
        <v>1400</v>
      </c>
      <c r="I74" s="106">
        <v>1400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25.5">
      <c r="A75" s="22" t="s">
        <v>241</v>
      </c>
      <c r="B75" s="9"/>
      <c r="C75" s="9" t="s">
        <v>18</v>
      </c>
      <c r="D75" s="14">
        <v>14130030000000000</v>
      </c>
      <c r="E75" s="10" t="s">
        <v>108</v>
      </c>
      <c r="F75" s="9" t="s">
        <v>242</v>
      </c>
      <c r="G75" s="9" t="s">
        <v>115</v>
      </c>
      <c r="H75" s="126">
        <f t="shared" si="2"/>
        <v>40000</v>
      </c>
      <c r="I75" s="376">
        <f>20000+20000</f>
        <v>40000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394" t="s">
        <v>243</v>
      </c>
      <c r="B76" s="6"/>
      <c r="C76" s="6" t="s">
        <v>18</v>
      </c>
      <c r="D76" s="395">
        <v>14130030000000000</v>
      </c>
      <c r="E76" s="6" t="s">
        <v>108</v>
      </c>
      <c r="F76" s="6" t="s">
        <v>244</v>
      </c>
      <c r="G76" s="6" t="s">
        <v>115</v>
      </c>
      <c r="H76" s="126">
        <f t="shared" si="2"/>
        <v>0</v>
      </c>
      <c r="I76" s="376">
        <f>20000-20000</f>
        <v>0</v>
      </c>
      <c r="J76" s="107"/>
      <c r="K76" s="107" t="s">
        <v>76</v>
      </c>
      <c r="L76" s="107" t="s">
        <v>76</v>
      </c>
      <c r="M76" s="107" t="s">
        <v>76</v>
      </c>
      <c r="N76" s="107" t="s">
        <v>76</v>
      </c>
      <c r="O76" s="6"/>
    </row>
    <row r="77" spans="1:15" s="25" customFormat="1" ht="12.75" hidden="1">
      <c r="A77" s="691" t="s">
        <v>188</v>
      </c>
      <c r="B77" s="9"/>
      <c r="C77" s="693" t="s">
        <v>18</v>
      </c>
      <c r="D77" s="9" t="s">
        <v>81</v>
      </c>
      <c r="E77" s="693" t="s">
        <v>108</v>
      </c>
      <c r="F77" s="693" t="s">
        <v>119</v>
      </c>
      <c r="G77" s="693" t="s">
        <v>115</v>
      </c>
      <c r="H77" s="126">
        <f t="shared" si="2"/>
        <v>0</v>
      </c>
      <c r="I77" s="78"/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/>
    </row>
    <row r="78" spans="1:15" s="25" customFormat="1" ht="12.75" hidden="1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2"/>
        <v>0</v>
      </c>
      <c r="I78" s="79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 t="s">
        <v>76</v>
      </c>
    </row>
    <row r="79" spans="1:15" s="25" customFormat="1" ht="27.75" customHeight="1">
      <c r="A79" s="681" t="s">
        <v>189</v>
      </c>
      <c r="B79" s="683"/>
      <c r="C79" s="27" t="s">
        <v>20</v>
      </c>
      <c r="D79" s="3"/>
      <c r="E79" s="27"/>
      <c r="F79" s="3"/>
      <c r="G79" s="3"/>
      <c r="H79" s="124">
        <f>I79</f>
        <v>3949039</v>
      </c>
      <c r="I79" s="97">
        <f>SUM(I80:I96)</f>
        <v>3949039</v>
      </c>
      <c r="J79" s="110"/>
      <c r="K79" s="111" t="s">
        <v>107</v>
      </c>
      <c r="L79" s="111"/>
      <c r="M79" s="111"/>
      <c r="N79" s="111" t="s">
        <v>107</v>
      </c>
      <c r="O79" s="28"/>
    </row>
    <row r="80" spans="1:15" s="25" customFormat="1" ht="15" customHeight="1">
      <c r="A80" s="22" t="s">
        <v>9</v>
      </c>
      <c r="B80" s="9"/>
      <c r="C80" s="9" t="s">
        <v>20</v>
      </c>
      <c r="D80" s="9" t="s">
        <v>81</v>
      </c>
      <c r="E80" s="9" t="s">
        <v>108</v>
      </c>
      <c r="F80" s="9" t="s">
        <v>120</v>
      </c>
      <c r="G80" s="9" t="s">
        <v>115</v>
      </c>
      <c r="H80" s="126">
        <f>I80</f>
        <v>934139</v>
      </c>
      <c r="I80" s="78">
        <f>1083500-149361</f>
        <v>934139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 t="s">
        <v>76</v>
      </c>
    </row>
    <row r="81" spans="1:15" s="25" customFormat="1" ht="15" customHeight="1">
      <c r="A81" s="82" t="s">
        <v>8</v>
      </c>
      <c r="B81" s="9"/>
      <c r="C81" s="9" t="s">
        <v>20</v>
      </c>
      <c r="D81" s="9" t="s">
        <v>81</v>
      </c>
      <c r="E81" s="10" t="s">
        <v>108</v>
      </c>
      <c r="F81" s="10" t="s">
        <v>128</v>
      </c>
      <c r="G81" s="10" t="s">
        <v>115</v>
      </c>
      <c r="H81" s="126">
        <f>I81</f>
        <v>17547.48</v>
      </c>
      <c r="I81" s="78">
        <v>17547.48</v>
      </c>
      <c r="J81" s="78"/>
      <c r="K81" s="107"/>
      <c r="L81" s="107"/>
      <c r="M81" s="107"/>
      <c r="N81" s="107"/>
      <c r="O81" s="6"/>
    </row>
    <row r="82" spans="1:15" s="25" customFormat="1" ht="15" customHeight="1">
      <c r="A82" s="691" t="s">
        <v>11</v>
      </c>
      <c r="B82" s="9"/>
      <c r="C82" s="693" t="s">
        <v>20</v>
      </c>
      <c r="D82" s="9" t="s">
        <v>81</v>
      </c>
      <c r="E82" s="693" t="s">
        <v>108</v>
      </c>
      <c r="F82" s="693" t="s">
        <v>121</v>
      </c>
      <c r="G82" s="693" t="s">
        <v>115</v>
      </c>
      <c r="H82" s="126">
        <f aca="true" t="shared" si="3" ref="H82:H96">I82</f>
        <v>231900</v>
      </c>
      <c r="I82" s="112">
        <f>246900-15000</f>
        <v>231900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>
      <c r="A83" s="692"/>
      <c r="B83" s="9"/>
      <c r="C83" s="694"/>
      <c r="D83" s="14">
        <v>14130030000000000</v>
      </c>
      <c r="E83" s="694"/>
      <c r="F83" s="694"/>
      <c r="G83" s="694"/>
      <c r="H83" s="126">
        <f t="shared" si="3"/>
        <v>2020000</v>
      </c>
      <c r="I83" s="112">
        <v>2020000</v>
      </c>
      <c r="J83" s="362"/>
      <c r="K83" s="107" t="s">
        <v>76</v>
      </c>
      <c r="L83" s="107"/>
      <c r="M83" s="107"/>
      <c r="N83" s="107" t="s">
        <v>76</v>
      </c>
      <c r="O83" s="6"/>
    </row>
    <row r="84" spans="1:15" s="25" customFormat="1" ht="12.75">
      <c r="A84" s="691" t="s">
        <v>12</v>
      </c>
      <c r="B84" s="9"/>
      <c r="C84" s="693" t="s">
        <v>20</v>
      </c>
      <c r="D84" s="9" t="s">
        <v>81</v>
      </c>
      <c r="E84" s="693" t="s">
        <v>108</v>
      </c>
      <c r="F84" s="693" t="s">
        <v>116</v>
      </c>
      <c r="G84" s="693" t="s">
        <v>115</v>
      </c>
      <c r="H84" s="126">
        <f t="shared" si="3"/>
        <v>82352.52</v>
      </c>
      <c r="I84" s="78">
        <f>99900-17547.48</f>
        <v>82352.52</v>
      </c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 t="s">
        <v>76</v>
      </c>
    </row>
    <row r="85" spans="1:15" s="25" customFormat="1" ht="12.75">
      <c r="A85" s="692"/>
      <c r="B85" s="9"/>
      <c r="C85" s="694"/>
      <c r="D85" s="14">
        <v>14130030000000000</v>
      </c>
      <c r="E85" s="694"/>
      <c r="F85" s="694"/>
      <c r="G85" s="694"/>
      <c r="H85" s="126">
        <f t="shared" si="3"/>
        <v>534800</v>
      </c>
      <c r="I85" s="115">
        <v>534800</v>
      </c>
      <c r="J85" s="78"/>
      <c r="K85" s="107" t="s">
        <v>76</v>
      </c>
      <c r="L85" s="107"/>
      <c r="M85" s="107"/>
      <c r="N85" s="107" t="s">
        <v>76</v>
      </c>
      <c r="O85" s="6"/>
    </row>
    <row r="86" spans="1:15" s="25" customFormat="1" ht="12.75">
      <c r="A86" s="22" t="s">
        <v>249</v>
      </c>
      <c r="B86" s="9"/>
      <c r="C86" s="9" t="s">
        <v>20</v>
      </c>
      <c r="D86" s="9" t="s">
        <v>81</v>
      </c>
      <c r="E86" s="9" t="s">
        <v>108</v>
      </c>
      <c r="F86" s="9" t="s">
        <v>206</v>
      </c>
      <c r="G86" s="9" t="s">
        <v>122</v>
      </c>
      <c r="H86" s="126">
        <f t="shared" si="3"/>
        <v>55400</v>
      </c>
      <c r="I86" s="78">
        <v>55400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250</v>
      </c>
      <c r="H87" s="126">
        <f t="shared" si="3"/>
        <v>4800</v>
      </c>
      <c r="I87" s="79">
        <v>4800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 hidden="1">
      <c r="A88" s="22" t="s">
        <v>14</v>
      </c>
      <c r="B88" s="9"/>
      <c r="C88" s="9" t="s">
        <v>20</v>
      </c>
      <c r="D88" s="9" t="s">
        <v>81</v>
      </c>
      <c r="E88" s="9" t="s">
        <v>124</v>
      </c>
      <c r="F88" s="9" t="s">
        <v>118</v>
      </c>
      <c r="G88" s="9" t="s">
        <v>115</v>
      </c>
      <c r="H88" s="126">
        <f t="shared" si="3"/>
        <v>0</v>
      </c>
      <c r="I88" s="78"/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51" hidden="1">
      <c r="A89" s="82" t="s">
        <v>237</v>
      </c>
      <c r="B89" s="9"/>
      <c r="C89" s="83" t="s">
        <v>18</v>
      </c>
      <c r="D89" s="9" t="s">
        <v>81</v>
      </c>
      <c r="E89" s="83" t="s">
        <v>124</v>
      </c>
      <c r="F89" s="84" t="s">
        <v>238</v>
      </c>
      <c r="G89" s="84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/>
    </row>
    <row r="90" spans="1:15" s="25" customFormat="1" ht="38.25" hidden="1">
      <c r="A90" s="82" t="s">
        <v>239</v>
      </c>
      <c r="B90" s="9"/>
      <c r="C90" s="83" t="s">
        <v>18</v>
      </c>
      <c r="D90" s="9" t="s">
        <v>81</v>
      </c>
      <c r="E90" s="83" t="s">
        <v>124</v>
      </c>
      <c r="F90" s="84" t="s">
        <v>240</v>
      </c>
      <c r="G90" s="84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25.5">
      <c r="A91" s="85" t="s">
        <v>248</v>
      </c>
      <c r="B91" s="9"/>
      <c r="C91" s="9" t="s">
        <v>20</v>
      </c>
      <c r="D91" s="9" t="s">
        <v>81</v>
      </c>
      <c r="E91" s="83" t="s">
        <v>108</v>
      </c>
      <c r="F91" s="10" t="s">
        <v>247</v>
      </c>
      <c r="G91" s="84" t="s">
        <v>115</v>
      </c>
      <c r="H91" s="126">
        <f t="shared" si="3"/>
        <v>20000</v>
      </c>
      <c r="I91" s="78">
        <f>10000+10000+15000-15000</f>
        <v>20000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22" t="s">
        <v>241</v>
      </c>
      <c r="B92" s="9"/>
      <c r="C92" s="9" t="s">
        <v>20</v>
      </c>
      <c r="D92" s="9" t="s">
        <v>81</v>
      </c>
      <c r="E92" s="9" t="s">
        <v>108</v>
      </c>
      <c r="F92" s="9" t="s">
        <v>242</v>
      </c>
      <c r="G92" s="9" t="s">
        <v>115</v>
      </c>
      <c r="H92" s="126">
        <f t="shared" si="3"/>
        <v>48100</v>
      </c>
      <c r="I92" s="78">
        <f>33100+15000</f>
        <v>48100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 hidden="1">
      <c r="A93" s="85" t="s">
        <v>243</v>
      </c>
      <c r="B93" s="57"/>
      <c r="C93" s="9" t="s">
        <v>20</v>
      </c>
      <c r="D93" s="9" t="s">
        <v>81</v>
      </c>
      <c r="E93" s="9" t="s">
        <v>108</v>
      </c>
      <c r="F93" s="9" t="s">
        <v>244</v>
      </c>
      <c r="G93" s="9" t="s">
        <v>115</v>
      </c>
      <c r="H93" s="126">
        <f t="shared" si="3"/>
        <v>0</v>
      </c>
      <c r="I93" s="78">
        <f>10000-10000</f>
        <v>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12.75" hidden="1">
      <c r="A94" s="22"/>
      <c r="B94" s="9"/>
      <c r="C94" s="9"/>
      <c r="D94" s="9"/>
      <c r="E94" s="9"/>
      <c r="F94" s="9"/>
      <c r="G94" s="9"/>
      <c r="H94" s="126"/>
      <c r="I94" s="78"/>
      <c r="J94" s="78"/>
      <c r="K94" s="107"/>
      <c r="L94" s="107"/>
      <c r="M94" s="107"/>
      <c r="N94" s="107"/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 t="s">
        <v>188</v>
      </c>
      <c r="B96" s="9"/>
      <c r="C96" s="9" t="s">
        <v>20</v>
      </c>
      <c r="D96" s="9" t="s">
        <v>81</v>
      </c>
      <c r="E96" s="9" t="s">
        <v>108</v>
      </c>
      <c r="F96" s="9" t="s">
        <v>119</v>
      </c>
      <c r="G96" s="9" t="s">
        <v>115</v>
      </c>
      <c r="H96" s="126">
        <f t="shared" si="3"/>
        <v>0</v>
      </c>
      <c r="I96" s="78"/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 t="s">
        <v>76</v>
      </c>
    </row>
    <row r="97" spans="1:15" s="25" customFormat="1" ht="13.5">
      <c r="A97" s="681" t="s">
        <v>125</v>
      </c>
      <c r="B97" s="683"/>
      <c r="C97" s="27" t="s">
        <v>21</v>
      </c>
      <c r="D97" s="3"/>
      <c r="E97" s="27"/>
      <c r="F97" s="3"/>
      <c r="G97" s="3"/>
      <c r="H97" s="124">
        <f>K97</f>
        <v>653340</v>
      </c>
      <c r="I97" s="98"/>
      <c r="J97" s="97"/>
      <c r="K97" s="97">
        <f>K100</f>
        <v>653340</v>
      </c>
      <c r="L97" s="110"/>
      <c r="M97" s="110"/>
      <c r="N97" s="111" t="s">
        <v>107</v>
      </c>
      <c r="O97" s="28"/>
    </row>
    <row r="98" spans="1:15" s="25" customFormat="1" ht="12.75" hidden="1">
      <c r="A98" s="22" t="s">
        <v>4</v>
      </c>
      <c r="B98" s="9"/>
      <c r="C98" s="9"/>
      <c r="D98" s="9"/>
      <c r="E98" s="9"/>
      <c r="F98" s="9" t="s">
        <v>99</v>
      </c>
      <c r="G98" s="9" t="s">
        <v>109</v>
      </c>
      <c r="H98" s="126">
        <f>I98</f>
        <v>0</v>
      </c>
      <c r="I98" s="78"/>
      <c r="J98" s="78"/>
      <c r="K98" s="116" t="s">
        <v>76</v>
      </c>
      <c r="L98" s="107" t="s">
        <v>76</v>
      </c>
      <c r="M98" s="107" t="s">
        <v>76</v>
      </c>
      <c r="N98" s="107" t="s">
        <v>76</v>
      </c>
      <c r="O98" s="6" t="s">
        <v>76</v>
      </c>
    </row>
    <row r="99" spans="1:15" s="25" customFormat="1" ht="12.75" hidden="1">
      <c r="A99" s="22" t="s">
        <v>5</v>
      </c>
      <c r="B99" s="9"/>
      <c r="C99" s="9"/>
      <c r="D99" s="9"/>
      <c r="E99" s="9"/>
      <c r="F99" s="9"/>
      <c r="G99" s="9"/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3.5">
      <c r="A100" s="22" t="s">
        <v>12</v>
      </c>
      <c r="B100" s="9"/>
      <c r="C100" s="41" t="s">
        <v>21</v>
      </c>
      <c r="D100" s="9" t="s">
        <v>89</v>
      </c>
      <c r="E100" s="9" t="s">
        <v>126</v>
      </c>
      <c r="F100" s="9" t="s">
        <v>116</v>
      </c>
      <c r="G100" s="9" t="s">
        <v>115</v>
      </c>
      <c r="H100" s="126">
        <f aca="true" t="shared" si="4" ref="H100:H115">K100</f>
        <v>653340</v>
      </c>
      <c r="I100" s="107" t="s">
        <v>76</v>
      </c>
      <c r="J100" s="78"/>
      <c r="K100" s="391">
        <f>676900-23560</f>
        <v>653340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8.75" customHeight="1" hidden="1">
      <c r="A101" s="687" t="s">
        <v>127</v>
      </c>
      <c r="B101" s="688"/>
      <c r="C101" s="27" t="s">
        <v>22</v>
      </c>
      <c r="D101" s="3"/>
      <c r="E101" s="3"/>
      <c r="F101" s="3"/>
      <c r="G101" s="3"/>
      <c r="H101" s="131">
        <f t="shared" si="4"/>
        <v>0</v>
      </c>
      <c r="I101" s="117"/>
      <c r="J101" s="110"/>
      <c r="K101" s="118">
        <f>K102</f>
        <v>0</v>
      </c>
      <c r="L101" s="117"/>
      <c r="M101" s="117"/>
      <c r="N101" s="117"/>
      <c r="O101" s="6"/>
    </row>
    <row r="102" spans="1:15" s="25" customFormat="1" ht="13.5" customHeight="1" hidden="1">
      <c r="A102" s="22" t="s">
        <v>12</v>
      </c>
      <c r="B102" s="40"/>
      <c r="C102" s="41" t="s">
        <v>22</v>
      </c>
      <c r="D102" s="9" t="s">
        <v>81</v>
      </c>
      <c r="E102" s="9" t="s">
        <v>108</v>
      </c>
      <c r="F102" s="9" t="s">
        <v>116</v>
      </c>
      <c r="G102" s="9" t="s">
        <v>115</v>
      </c>
      <c r="H102" s="126">
        <f t="shared" si="4"/>
        <v>0</v>
      </c>
      <c r="I102" s="107" t="s">
        <v>76</v>
      </c>
      <c r="J102" s="78"/>
      <c r="K102" s="116"/>
      <c r="L102" s="107"/>
      <c r="M102" s="107"/>
      <c r="N102" s="107" t="s">
        <v>76</v>
      </c>
      <c r="O102" s="6"/>
    </row>
    <row r="103" spans="1:15" s="25" customFormat="1" ht="28.5" customHeight="1">
      <c r="A103" s="39" t="s">
        <v>190</v>
      </c>
      <c r="B103" s="55"/>
      <c r="C103" s="27" t="s">
        <v>41</v>
      </c>
      <c r="D103" s="3"/>
      <c r="E103" s="3"/>
      <c r="F103" s="3"/>
      <c r="G103" s="3"/>
      <c r="H103" s="124">
        <f t="shared" si="4"/>
        <v>24000</v>
      </c>
      <c r="I103" s="119"/>
      <c r="J103" s="97"/>
      <c r="K103" s="120">
        <f>K104</f>
        <v>24000</v>
      </c>
      <c r="L103" s="117"/>
      <c r="M103" s="117"/>
      <c r="N103" s="117"/>
      <c r="O103" s="6"/>
    </row>
    <row r="104" spans="1:15" s="25" customFormat="1" ht="12.75">
      <c r="A104" s="22" t="s">
        <v>12</v>
      </c>
      <c r="B104" s="40"/>
      <c r="C104" s="9" t="s">
        <v>41</v>
      </c>
      <c r="D104" s="9" t="s">
        <v>81</v>
      </c>
      <c r="E104" s="9" t="s">
        <v>154</v>
      </c>
      <c r="F104" s="9" t="s">
        <v>116</v>
      </c>
      <c r="G104" s="9" t="s">
        <v>115</v>
      </c>
      <c r="H104" s="126">
        <f t="shared" si="4"/>
        <v>24000</v>
      </c>
      <c r="I104" s="107" t="s">
        <v>76</v>
      </c>
      <c r="J104" s="78"/>
      <c r="K104" s="116">
        <v>24000</v>
      </c>
      <c r="L104" s="107"/>
      <c r="M104" s="107"/>
      <c r="N104" s="107" t="s">
        <v>76</v>
      </c>
      <c r="O104" s="6"/>
    </row>
    <row r="105" spans="1:15" s="25" customFormat="1" ht="36" customHeight="1">
      <c r="A105" s="681" t="s">
        <v>374</v>
      </c>
      <c r="B105" s="683"/>
      <c r="C105" s="27" t="s">
        <v>373</v>
      </c>
      <c r="D105" s="3"/>
      <c r="E105" s="3"/>
      <c r="F105" s="3"/>
      <c r="G105" s="3"/>
      <c r="H105" s="435">
        <f>K105</f>
        <v>60000</v>
      </c>
      <c r="I105" s="436" t="s">
        <v>76</v>
      </c>
      <c r="J105" s="437"/>
      <c r="K105" s="435">
        <f>SUM(K106:K109)</f>
        <v>60000</v>
      </c>
      <c r="L105" s="435">
        <f>SUM(L106:L109)</f>
        <v>0</v>
      </c>
      <c r="M105" s="435">
        <f>SUM(M106:M109)</f>
        <v>0</v>
      </c>
      <c r="N105" s="435"/>
      <c r="O105" s="6"/>
    </row>
    <row r="106" spans="1:15" s="25" customFormat="1" ht="12.75">
      <c r="A106" s="8" t="s">
        <v>335</v>
      </c>
      <c r="B106" s="40"/>
      <c r="C106" s="60" t="s">
        <v>373</v>
      </c>
      <c r="D106" s="434" t="s">
        <v>332</v>
      </c>
      <c r="E106" s="9" t="s">
        <v>108</v>
      </c>
      <c r="F106" s="9" t="s">
        <v>116</v>
      </c>
      <c r="G106" s="9" t="s">
        <v>115</v>
      </c>
      <c r="H106" s="433">
        <f>K106</f>
        <v>43200</v>
      </c>
      <c r="I106" s="107"/>
      <c r="J106" s="78"/>
      <c r="K106" s="116">
        <v>43200</v>
      </c>
      <c r="L106" s="107"/>
      <c r="M106" s="107"/>
      <c r="N106" s="107"/>
      <c r="O106" s="6"/>
    </row>
    <row r="107" spans="1:15" s="25" customFormat="1" ht="12.75">
      <c r="A107" s="8" t="s">
        <v>336</v>
      </c>
      <c r="B107" s="40"/>
      <c r="C107" s="60" t="s">
        <v>373</v>
      </c>
      <c r="D107" s="434" t="s">
        <v>214</v>
      </c>
      <c r="E107" s="9" t="s">
        <v>108</v>
      </c>
      <c r="F107" s="9" t="s">
        <v>116</v>
      </c>
      <c r="G107" s="9" t="s">
        <v>115</v>
      </c>
      <c r="H107" s="433">
        <f>K107</f>
        <v>4800</v>
      </c>
      <c r="I107" s="107"/>
      <c r="J107" s="78"/>
      <c r="K107" s="116">
        <v>4800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333</v>
      </c>
      <c r="E108" s="9" t="s">
        <v>108</v>
      </c>
      <c r="F108" s="9" t="s">
        <v>116</v>
      </c>
      <c r="G108" s="9" t="s">
        <v>115</v>
      </c>
      <c r="H108" s="433">
        <f>K108</f>
        <v>10800</v>
      </c>
      <c r="I108" s="107"/>
      <c r="J108" s="78"/>
      <c r="K108" s="116">
        <v>10800</v>
      </c>
      <c r="L108" s="107"/>
      <c r="M108" s="107"/>
      <c r="N108" s="107"/>
      <c r="O108" s="6"/>
    </row>
    <row r="109" spans="1:15" s="25" customFormat="1" ht="12.75">
      <c r="A109" s="8" t="s">
        <v>337</v>
      </c>
      <c r="B109" s="40"/>
      <c r="C109" s="60" t="s">
        <v>373</v>
      </c>
      <c r="D109" s="434" t="s">
        <v>216</v>
      </c>
      <c r="E109" s="9" t="s">
        <v>108</v>
      </c>
      <c r="F109" s="9" t="s">
        <v>116</v>
      </c>
      <c r="G109" s="9" t="s">
        <v>115</v>
      </c>
      <c r="H109" s="433">
        <f>K109</f>
        <v>1200</v>
      </c>
      <c r="I109" s="107"/>
      <c r="J109" s="78"/>
      <c r="K109" s="116">
        <v>1200</v>
      </c>
      <c r="L109" s="107"/>
      <c r="M109" s="107"/>
      <c r="N109" s="107"/>
      <c r="O109" s="6"/>
    </row>
    <row r="110" spans="1:15" s="25" customFormat="1" ht="41.25" customHeight="1">
      <c r="A110" s="681" t="s">
        <v>334</v>
      </c>
      <c r="B110" s="683"/>
      <c r="C110" s="27" t="s">
        <v>211</v>
      </c>
      <c r="D110" s="3"/>
      <c r="E110" s="3"/>
      <c r="F110" s="3"/>
      <c r="G110" s="3"/>
      <c r="H110" s="124">
        <f t="shared" si="4"/>
        <v>80000</v>
      </c>
      <c r="I110" s="117" t="s">
        <v>76</v>
      </c>
      <c r="J110" s="110"/>
      <c r="K110" s="97">
        <f>SUM(K111:K115)</f>
        <v>80000</v>
      </c>
      <c r="L110" s="117"/>
      <c r="M110" s="117"/>
      <c r="N110" s="117" t="s">
        <v>76</v>
      </c>
      <c r="O110" s="6"/>
    </row>
    <row r="111" spans="1:15" s="25" customFormat="1" ht="12.75">
      <c r="A111" s="22" t="s">
        <v>12</v>
      </c>
      <c r="B111" s="57"/>
      <c r="C111" s="9" t="s">
        <v>204</v>
      </c>
      <c r="D111" s="9" t="s">
        <v>81</v>
      </c>
      <c r="E111" s="9" t="s">
        <v>108</v>
      </c>
      <c r="F111" s="9" t="s">
        <v>116</v>
      </c>
      <c r="G111" s="9" t="s">
        <v>115</v>
      </c>
      <c r="H111" s="126">
        <f t="shared" si="4"/>
        <v>80000</v>
      </c>
      <c r="I111" s="107" t="s">
        <v>76</v>
      </c>
      <c r="J111" s="107"/>
      <c r="K111" s="116">
        <v>80000</v>
      </c>
      <c r="L111" s="107"/>
      <c r="M111" s="107"/>
      <c r="N111" s="107" t="s">
        <v>76</v>
      </c>
      <c r="O111" s="6"/>
    </row>
    <row r="112" spans="1:15" s="25" customFormat="1" ht="12.75">
      <c r="A112" s="8" t="s">
        <v>335</v>
      </c>
      <c r="B112" s="9"/>
      <c r="C112" s="9" t="s">
        <v>211</v>
      </c>
      <c r="D112" s="393" t="s">
        <v>332</v>
      </c>
      <c r="E112" s="9" t="s">
        <v>108</v>
      </c>
      <c r="F112" s="9" t="s">
        <v>116</v>
      </c>
      <c r="G112" s="9" t="s">
        <v>115</v>
      </c>
      <c r="H112" s="126">
        <f t="shared" si="4"/>
        <v>0</v>
      </c>
      <c r="I112" s="107" t="s">
        <v>76</v>
      </c>
      <c r="J112" s="78"/>
      <c r="K112" s="109"/>
      <c r="L112" s="107"/>
      <c r="M112" s="107"/>
      <c r="N112" s="107" t="s">
        <v>76</v>
      </c>
      <c r="O112" s="64" t="s">
        <v>76</v>
      </c>
    </row>
    <row r="113" spans="1:15" s="25" customFormat="1" ht="12.75">
      <c r="A113" s="8" t="s">
        <v>336</v>
      </c>
      <c r="B113" s="9"/>
      <c r="C113" s="9" t="s">
        <v>211</v>
      </c>
      <c r="D113" s="393" t="s">
        <v>214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78"/>
      <c r="L113" s="107"/>
      <c r="M113" s="107"/>
      <c r="N113" s="107" t="s">
        <v>76</v>
      </c>
      <c r="O113" s="6"/>
    </row>
    <row r="114" spans="1:15" s="25" customFormat="1" ht="12.75">
      <c r="A114" s="8" t="s">
        <v>336</v>
      </c>
      <c r="B114" s="9"/>
      <c r="C114" s="9" t="s">
        <v>211</v>
      </c>
      <c r="D114" s="393" t="s">
        <v>333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337</v>
      </c>
      <c r="B115" s="9"/>
      <c r="C115" s="9" t="s">
        <v>211</v>
      </c>
      <c r="D115" s="393" t="s">
        <v>216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41.25" customHeight="1">
      <c r="A116" s="681" t="s">
        <v>360</v>
      </c>
      <c r="B116" s="683"/>
      <c r="C116" s="27" t="s">
        <v>51</v>
      </c>
      <c r="D116" s="43"/>
      <c r="E116" s="42"/>
      <c r="F116" s="42"/>
      <c r="G116" s="42"/>
      <c r="H116" s="124"/>
      <c r="I116" s="119"/>
      <c r="J116" s="97"/>
      <c r="K116" s="120">
        <f>SUM(K118:K126)</f>
        <v>411025.7</v>
      </c>
      <c r="L116" s="119"/>
      <c r="M116" s="119"/>
      <c r="N116" s="119"/>
      <c r="O116" s="6"/>
    </row>
    <row r="117" spans="1:15" s="25" customFormat="1" ht="12.75" hidden="1">
      <c r="A117" s="61" t="s">
        <v>11</v>
      </c>
      <c r="B117" s="59"/>
      <c r="C117" s="59" t="s">
        <v>51</v>
      </c>
      <c r="D117" s="59" t="s">
        <v>81</v>
      </c>
      <c r="E117" s="59" t="s">
        <v>218</v>
      </c>
      <c r="F117" s="59" t="s">
        <v>121</v>
      </c>
      <c r="G117" s="59" t="s">
        <v>115</v>
      </c>
      <c r="H117" s="127">
        <f aca="true" t="shared" si="5" ref="H117:H126">K117</f>
        <v>0</v>
      </c>
      <c r="I117" s="101" t="s">
        <v>76</v>
      </c>
      <c r="J117" s="102"/>
      <c r="K117" s="104"/>
      <c r="L117" s="102"/>
      <c r="M117" s="100"/>
      <c r="N117" s="101" t="s">
        <v>76</v>
      </c>
      <c r="O117" s="6"/>
    </row>
    <row r="118" spans="1:15" s="25" customFormat="1" ht="12.75">
      <c r="A118" s="684" t="s">
        <v>12</v>
      </c>
      <c r="B118" s="9"/>
      <c r="C118" s="678" t="s">
        <v>51</v>
      </c>
      <c r="D118" s="9" t="s">
        <v>81</v>
      </c>
      <c r="E118" s="678" t="s">
        <v>218</v>
      </c>
      <c r="F118" s="678" t="s">
        <v>116</v>
      </c>
      <c r="G118" s="678" t="s">
        <v>115</v>
      </c>
      <c r="H118" s="126">
        <f t="shared" si="5"/>
        <v>201123.7</v>
      </c>
      <c r="I118" s="107" t="s">
        <v>76</v>
      </c>
      <c r="J118" s="107"/>
      <c r="K118" s="116">
        <f>195152.7+2985.5+2985.5</f>
        <v>201123.7</v>
      </c>
      <c r="L118" s="107"/>
      <c r="M118" s="107"/>
      <c r="N118" s="107" t="s">
        <v>76</v>
      </c>
      <c r="O118" s="6"/>
    </row>
    <row r="119" spans="1:15" s="25" customFormat="1" ht="12.75">
      <c r="A119" s="685"/>
      <c r="B119" s="9"/>
      <c r="C119" s="679"/>
      <c r="D119" s="9" t="s">
        <v>219</v>
      </c>
      <c r="E119" s="679"/>
      <c r="F119" s="679"/>
      <c r="G119" s="679"/>
      <c r="H119" s="126">
        <f t="shared" si="5"/>
        <v>188911.8</v>
      </c>
      <c r="I119" s="107" t="s">
        <v>76</v>
      </c>
      <c r="J119" s="107"/>
      <c r="K119" s="116">
        <f>148024.8+20443.5+20443.5</f>
        <v>188911.8</v>
      </c>
      <c r="L119" s="107"/>
      <c r="M119" s="107"/>
      <c r="N119" s="107" t="s">
        <v>76</v>
      </c>
      <c r="O119" s="6"/>
    </row>
    <row r="120" spans="1:15" s="25" customFormat="1" ht="12.75">
      <c r="A120" s="686"/>
      <c r="B120" s="9"/>
      <c r="C120" s="680"/>
      <c r="D120" s="9" t="s">
        <v>196</v>
      </c>
      <c r="E120" s="680"/>
      <c r="F120" s="680"/>
      <c r="G120" s="680"/>
      <c r="H120" s="126">
        <f t="shared" si="5"/>
        <v>12136.6</v>
      </c>
      <c r="I120" s="107"/>
      <c r="J120" s="107"/>
      <c r="K120" s="116">
        <f>7593.6+2271.5+2271.5</f>
        <v>12136.6</v>
      </c>
      <c r="L120" s="107"/>
      <c r="M120" s="107"/>
      <c r="N120" s="107" t="s">
        <v>76</v>
      </c>
      <c r="O120" s="6"/>
    </row>
    <row r="121" spans="1:15" s="25" customFormat="1" ht="12.75">
      <c r="A121" s="431" t="s">
        <v>362</v>
      </c>
      <c r="B121" s="9"/>
      <c r="C121" s="9" t="s">
        <v>51</v>
      </c>
      <c r="D121" s="9" t="s">
        <v>196</v>
      </c>
      <c r="E121" s="9" t="s">
        <v>218</v>
      </c>
      <c r="F121" s="9" t="s">
        <v>361</v>
      </c>
      <c r="G121" s="9" t="s">
        <v>115</v>
      </c>
      <c r="H121" s="126">
        <f t="shared" si="5"/>
        <v>2272.2</v>
      </c>
      <c r="I121" s="107"/>
      <c r="J121" s="107"/>
      <c r="K121" s="116">
        <v>2272.2</v>
      </c>
      <c r="L121" s="107"/>
      <c r="M121" s="107"/>
      <c r="N121" s="107" t="s">
        <v>76</v>
      </c>
      <c r="O121" s="6"/>
    </row>
    <row r="122" spans="1:15" s="25" customFormat="1" ht="39.75" customHeight="1">
      <c r="A122" s="431" t="s">
        <v>363</v>
      </c>
      <c r="B122" s="9"/>
      <c r="C122" s="9" t="s">
        <v>51</v>
      </c>
      <c r="D122" s="9" t="s">
        <v>196</v>
      </c>
      <c r="E122" s="9" t="s">
        <v>218</v>
      </c>
      <c r="F122" s="9" t="s">
        <v>240</v>
      </c>
      <c r="G122" s="9" t="s">
        <v>115</v>
      </c>
      <c r="H122" s="126">
        <f t="shared" si="5"/>
        <v>2625</v>
      </c>
      <c r="I122" s="107"/>
      <c r="J122" s="107"/>
      <c r="K122" s="116">
        <v>2625</v>
      </c>
      <c r="L122" s="107"/>
      <c r="M122" s="107"/>
      <c r="N122" s="107" t="s">
        <v>76</v>
      </c>
      <c r="O122" s="6"/>
    </row>
    <row r="123" spans="1:15" s="25" customFormat="1" ht="28.5" customHeight="1">
      <c r="A123" s="431" t="s">
        <v>364</v>
      </c>
      <c r="B123" s="9"/>
      <c r="C123" s="9" t="s">
        <v>51</v>
      </c>
      <c r="D123" s="9" t="s">
        <v>196</v>
      </c>
      <c r="E123" s="9" t="s">
        <v>218</v>
      </c>
      <c r="F123" s="9" t="s">
        <v>242</v>
      </c>
      <c r="G123" s="9" t="s">
        <v>115</v>
      </c>
      <c r="H123" s="126">
        <f t="shared" si="5"/>
        <v>3956.4</v>
      </c>
      <c r="I123" s="107"/>
      <c r="J123" s="107"/>
      <c r="K123" s="116">
        <v>3956.4</v>
      </c>
      <c r="L123" s="107"/>
      <c r="M123" s="107"/>
      <c r="N123" s="107" t="s">
        <v>76</v>
      </c>
      <c r="O123" s="6"/>
    </row>
    <row r="124" spans="1:15" s="25" customFormat="1" ht="12.75" hidden="1">
      <c r="A124" s="22" t="s">
        <v>359</v>
      </c>
      <c r="B124" s="9"/>
      <c r="C124" s="9" t="s">
        <v>51</v>
      </c>
      <c r="D124" s="9" t="s">
        <v>81</v>
      </c>
      <c r="E124" s="9" t="s">
        <v>218</v>
      </c>
      <c r="F124" s="9" t="s">
        <v>118</v>
      </c>
      <c r="G124" s="9" t="s">
        <v>115</v>
      </c>
      <c r="H124" s="126">
        <f>K124</f>
        <v>0</v>
      </c>
      <c r="I124" s="107" t="s">
        <v>76</v>
      </c>
      <c r="J124" s="107"/>
      <c r="K124" s="116"/>
      <c r="L124" s="101"/>
      <c r="M124" s="101"/>
      <c r="N124" s="101" t="s">
        <v>76</v>
      </c>
      <c r="O124" s="6"/>
    </row>
    <row r="125" spans="1:15" s="25" customFormat="1" ht="12.75" hidden="1">
      <c r="A125" s="684" t="s">
        <v>221</v>
      </c>
      <c r="B125" s="9"/>
      <c r="C125" s="678" t="s">
        <v>51</v>
      </c>
      <c r="D125" s="9" t="s">
        <v>81</v>
      </c>
      <c r="E125" s="678" t="s">
        <v>218</v>
      </c>
      <c r="F125" s="678" t="s">
        <v>119</v>
      </c>
      <c r="G125" s="678" t="s">
        <v>115</v>
      </c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6"/>
      <c r="B126" s="9"/>
      <c r="C126" s="680"/>
      <c r="D126" s="9" t="s">
        <v>196</v>
      </c>
      <c r="E126" s="680"/>
      <c r="F126" s="680"/>
      <c r="G126" s="680"/>
      <c r="H126" s="126">
        <f t="shared" si="5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5" customHeight="1">
      <c r="A127" s="681" t="s">
        <v>210</v>
      </c>
      <c r="B127" s="683"/>
      <c r="C127" s="27" t="s">
        <v>163</v>
      </c>
      <c r="D127" s="44"/>
      <c r="E127" s="3"/>
      <c r="F127" s="3"/>
      <c r="G127" s="3"/>
      <c r="H127" s="131"/>
      <c r="I127" s="117"/>
      <c r="J127" s="110"/>
      <c r="K127" s="120">
        <f>K128+K129</f>
        <v>950000</v>
      </c>
      <c r="L127" s="117"/>
      <c r="M127" s="117"/>
      <c r="N127" s="117"/>
      <c r="O127" s="6"/>
    </row>
    <row r="128" spans="1:15" s="25" customFormat="1" ht="15.75" customHeight="1">
      <c r="A128" s="22" t="s">
        <v>11</v>
      </c>
      <c r="B128" s="40"/>
      <c r="C128" s="41" t="s">
        <v>163</v>
      </c>
      <c r="D128" s="6" t="s">
        <v>162</v>
      </c>
      <c r="E128" s="9" t="s">
        <v>157</v>
      </c>
      <c r="F128" s="46">
        <v>225</v>
      </c>
      <c r="G128" s="9" t="s">
        <v>115</v>
      </c>
      <c r="H128" s="129" t="s">
        <v>76</v>
      </c>
      <c r="I128" s="107" t="s">
        <v>76</v>
      </c>
      <c r="J128" s="78"/>
      <c r="K128" s="116">
        <v>950000</v>
      </c>
      <c r="L128" s="107"/>
      <c r="M128" s="107"/>
      <c r="N128" s="107" t="s">
        <v>76</v>
      </c>
      <c r="O128" s="6"/>
    </row>
    <row r="129" spans="1:15" s="25" customFormat="1" ht="13.5" hidden="1">
      <c r="A129" s="47" t="s">
        <v>14</v>
      </c>
      <c r="B129" s="40"/>
      <c r="C129" s="41" t="s">
        <v>163</v>
      </c>
      <c r="D129" s="6" t="s">
        <v>162</v>
      </c>
      <c r="E129" s="9" t="s">
        <v>157</v>
      </c>
      <c r="F129" s="9" t="s">
        <v>118</v>
      </c>
      <c r="G129" s="9" t="s">
        <v>115</v>
      </c>
      <c r="H129" s="126"/>
      <c r="I129" s="107"/>
      <c r="J129" s="78"/>
      <c r="K129" s="116"/>
      <c r="L129" s="107"/>
      <c r="M129" s="107"/>
      <c r="N129" s="107"/>
      <c r="O129" s="6"/>
    </row>
    <row r="130" spans="1:15" s="25" customFormat="1" ht="15" customHeight="1" hidden="1">
      <c r="A130" s="681" t="s">
        <v>177</v>
      </c>
      <c r="B130" s="683"/>
      <c r="C130" s="27" t="s">
        <v>23</v>
      </c>
      <c r="D130" s="44"/>
      <c r="E130" s="3"/>
      <c r="F130" s="3"/>
      <c r="G130" s="3"/>
      <c r="H130" s="131"/>
      <c r="I130" s="117"/>
      <c r="J130" s="110"/>
      <c r="K130" s="118">
        <f>K131</f>
        <v>0</v>
      </c>
      <c r="L130" s="117"/>
      <c r="M130" s="117"/>
      <c r="N130" s="117"/>
      <c r="O130" s="6"/>
    </row>
    <row r="131" spans="1:15" s="25" customFormat="1" ht="15" customHeight="1" hidden="1">
      <c r="A131" s="22" t="s">
        <v>178</v>
      </c>
      <c r="B131" s="9"/>
      <c r="C131" s="9" t="s">
        <v>23</v>
      </c>
      <c r="D131" s="9" t="s">
        <v>81</v>
      </c>
      <c r="E131" s="9" t="s">
        <v>108</v>
      </c>
      <c r="F131" s="9" t="s">
        <v>116</v>
      </c>
      <c r="G131" s="9" t="s">
        <v>115</v>
      </c>
      <c r="H131" s="126"/>
      <c r="I131" s="107"/>
      <c r="J131" s="78"/>
      <c r="K131" s="116"/>
      <c r="L131" s="107"/>
      <c r="M131" s="107"/>
      <c r="N131" s="107"/>
      <c r="O131" s="6"/>
    </row>
    <row r="132" spans="1:15" s="25" customFormat="1" ht="29.25" customHeight="1" hidden="1">
      <c r="A132" s="681" t="s">
        <v>191</v>
      </c>
      <c r="B132" s="683"/>
      <c r="C132" s="27" t="s">
        <v>192</v>
      </c>
      <c r="D132" s="3"/>
      <c r="E132" s="3"/>
      <c r="F132" s="3"/>
      <c r="G132" s="3"/>
      <c r="H132" s="124">
        <f aca="true" t="shared" si="6" ref="H132:H138">K132</f>
        <v>0</v>
      </c>
      <c r="I132" s="119"/>
      <c r="J132" s="97"/>
      <c r="K132" s="97">
        <f>K133+K134</f>
        <v>0</v>
      </c>
      <c r="L132" s="117"/>
      <c r="M132" s="117"/>
      <c r="N132" s="117"/>
      <c r="O132" s="6"/>
    </row>
    <row r="133" spans="1:15" s="25" customFormat="1" ht="16.5" customHeight="1" hidden="1">
      <c r="A133" s="61" t="s">
        <v>195</v>
      </c>
      <c r="B133" s="67"/>
      <c r="C133" s="59" t="s">
        <v>192</v>
      </c>
      <c r="D133" s="59" t="s">
        <v>193</v>
      </c>
      <c r="E133" s="59" t="s">
        <v>108</v>
      </c>
      <c r="F133" s="59" t="s">
        <v>121</v>
      </c>
      <c r="G133" s="59" t="s">
        <v>194</v>
      </c>
      <c r="H133" s="127">
        <f t="shared" si="6"/>
        <v>0</v>
      </c>
      <c r="I133" s="101" t="s">
        <v>76</v>
      </c>
      <c r="J133" s="100"/>
      <c r="K133" s="104"/>
      <c r="L133" s="101"/>
      <c r="M133" s="101"/>
      <c r="N133" s="101" t="s">
        <v>76</v>
      </c>
      <c r="O133" s="6"/>
    </row>
    <row r="134" spans="1:15" s="25" customFormat="1" ht="16.5" customHeight="1" hidden="1">
      <c r="A134" s="61" t="s">
        <v>195</v>
      </c>
      <c r="B134" s="68"/>
      <c r="C134" s="59" t="s">
        <v>192</v>
      </c>
      <c r="D134" s="59" t="s">
        <v>196</v>
      </c>
      <c r="E134" s="59" t="s">
        <v>108</v>
      </c>
      <c r="F134" s="59" t="s">
        <v>121</v>
      </c>
      <c r="G134" s="59" t="s">
        <v>194</v>
      </c>
      <c r="H134" s="127">
        <f t="shared" si="6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>
      <c r="A135" s="39" t="s">
        <v>222</v>
      </c>
      <c r="B135" s="38"/>
      <c r="C135" s="27" t="s">
        <v>203</v>
      </c>
      <c r="D135" s="3"/>
      <c r="E135" s="3"/>
      <c r="F135" s="3"/>
      <c r="G135" s="3"/>
      <c r="H135" s="124">
        <f t="shared" si="6"/>
        <v>10000</v>
      </c>
      <c r="I135" s="117" t="s">
        <v>76</v>
      </c>
      <c r="J135" s="110"/>
      <c r="K135" s="120">
        <f>K136</f>
        <v>10000</v>
      </c>
      <c r="L135" s="117"/>
      <c r="M135" s="117"/>
      <c r="N135" s="117" t="s">
        <v>76</v>
      </c>
      <c r="O135" s="6"/>
    </row>
    <row r="136" spans="1:15" s="25" customFormat="1" ht="24" customHeight="1">
      <c r="A136" s="22" t="s">
        <v>236</v>
      </c>
      <c r="B136" s="40"/>
      <c r="C136" s="9" t="s">
        <v>203</v>
      </c>
      <c r="D136" s="9" t="s">
        <v>81</v>
      </c>
      <c r="E136" s="9" t="s">
        <v>108</v>
      </c>
      <c r="F136" s="9" t="s">
        <v>205</v>
      </c>
      <c r="G136" s="9" t="s">
        <v>123</v>
      </c>
      <c r="H136" s="126">
        <f t="shared" si="6"/>
        <v>10000</v>
      </c>
      <c r="I136" s="107" t="s">
        <v>76</v>
      </c>
      <c r="J136" s="78"/>
      <c r="K136" s="121">
        <v>10000</v>
      </c>
      <c r="L136" s="107"/>
      <c r="M136" s="107"/>
      <c r="N136" s="107" t="s">
        <v>76</v>
      </c>
      <c r="O136" s="6"/>
    </row>
    <row r="137" spans="1:15" s="25" customFormat="1" ht="12.75" hidden="1">
      <c r="A137" s="75" t="s">
        <v>226</v>
      </c>
      <c r="B137" s="58"/>
      <c r="C137" s="42" t="s">
        <v>23</v>
      </c>
      <c r="D137" s="42"/>
      <c r="E137" s="42"/>
      <c r="F137" s="42"/>
      <c r="G137" s="42"/>
      <c r="H137" s="125">
        <f t="shared" si="6"/>
        <v>0</v>
      </c>
      <c r="I137" s="119"/>
      <c r="J137" s="98"/>
      <c r="K137" s="97">
        <f>K138</f>
        <v>0</v>
      </c>
      <c r="L137" s="119"/>
      <c r="M137" s="119"/>
      <c r="N137" s="119"/>
      <c r="O137" s="6"/>
    </row>
    <row r="138" spans="1:15" s="25" customFormat="1" ht="12.75" hidden="1">
      <c r="A138" s="76" t="s">
        <v>227</v>
      </c>
      <c r="B138" s="57"/>
      <c r="C138" s="9" t="s">
        <v>23</v>
      </c>
      <c r="D138" s="9" t="s">
        <v>228</v>
      </c>
      <c r="E138" s="9" t="s">
        <v>157</v>
      </c>
      <c r="F138" s="9" t="s">
        <v>116</v>
      </c>
      <c r="G138" s="9" t="s">
        <v>115</v>
      </c>
      <c r="H138" s="129">
        <f t="shared" si="6"/>
        <v>0</v>
      </c>
      <c r="I138" s="107"/>
      <c r="J138" s="26"/>
      <c r="K138" s="78"/>
      <c r="L138" s="107"/>
      <c r="M138" s="107"/>
      <c r="N138" s="107"/>
      <c r="O138" s="6"/>
    </row>
    <row r="139" spans="1:15" s="25" customFormat="1" ht="12.75" hidden="1">
      <c r="A139" s="77" t="s">
        <v>231</v>
      </c>
      <c r="B139" s="58"/>
      <c r="C139" s="87" t="s">
        <v>230</v>
      </c>
      <c r="D139" s="53"/>
      <c r="E139" s="53"/>
      <c r="F139" s="53"/>
      <c r="G139" s="53"/>
      <c r="H139" s="124">
        <f>K139</f>
        <v>0</v>
      </c>
      <c r="I139" s="119"/>
      <c r="J139" s="97"/>
      <c r="K139" s="98">
        <f>K140</f>
        <v>0</v>
      </c>
      <c r="L139" s="119"/>
      <c r="M139" s="119"/>
      <c r="N139" s="119"/>
      <c r="O139" s="6"/>
    </row>
    <row r="140" spans="1:15" s="25" customFormat="1" ht="12.75" hidden="1">
      <c r="A140" s="22" t="s">
        <v>227</v>
      </c>
      <c r="B140" s="57"/>
      <c r="C140" s="9" t="s">
        <v>230</v>
      </c>
      <c r="D140" s="9" t="s">
        <v>81</v>
      </c>
      <c r="E140" s="9" t="s">
        <v>232</v>
      </c>
      <c r="F140" s="9" t="s">
        <v>116</v>
      </c>
      <c r="G140" s="9" t="s">
        <v>115</v>
      </c>
      <c r="H140" s="126">
        <f>K140</f>
        <v>0</v>
      </c>
      <c r="I140" s="107"/>
      <c r="J140" s="78"/>
      <c r="K140" s="26"/>
      <c r="L140" s="107"/>
      <c r="M140" s="107"/>
      <c r="N140" s="107"/>
      <c r="O140" s="6"/>
    </row>
    <row r="141" spans="1:15" s="25" customFormat="1" ht="29.25" customHeight="1">
      <c r="A141" s="681" t="s">
        <v>224</v>
      </c>
      <c r="B141" s="682"/>
      <c r="C141" s="27" t="s">
        <v>80</v>
      </c>
      <c r="D141" s="3"/>
      <c r="E141" s="3"/>
      <c r="F141" s="3"/>
      <c r="G141" s="3"/>
      <c r="H141" s="124">
        <f>N141</f>
        <v>99500.00000000001</v>
      </c>
      <c r="I141" s="119"/>
      <c r="J141" s="119"/>
      <c r="K141" s="119"/>
      <c r="L141" s="119"/>
      <c r="M141" s="119"/>
      <c r="N141" s="97">
        <f>SUM(N142:N151)</f>
        <v>99500.00000000001</v>
      </c>
      <c r="O141" s="6"/>
    </row>
    <row r="142" spans="1:15" s="25" customFormat="1" ht="13.5" customHeight="1" hidden="1">
      <c r="A142" s="45" t="s">
        <v>8</v>
      </c>
      <c r="B142" s="8"/>
      <c r="C142" s="9" t="s">
        <v>80</v>
      </c>
      <c r="D142" s="9" t="s">
        <v>81</v>
      </c>
      <c r="E142" s="9" t="s">
        <v>108</v>
      </c>
      <c r="F142" s="9" t="s">
        <v>128</v>
      </c>
      <c r="G142" s="9" t="s">
        <v>115</v>
      </c>
      <c r="H142" s="126">
        <f aca="true" t="shared" si="7" ref="H142:H149">N142</f>
        <v>0</v>
      </c>
      <c r="I142" s="107" t="s">
        <v>76</v>
      </c>
      <c r="J142" s="107" t="s">
        <v>76</v>
      </c>
      <c r="K142" s="107" t="s">
        <v>76</v>
      </c>
      <c r="L142" s="107" t="s">
        <v>76</v>
      </c>
      <c r="M142" s="107"/>
      <c r="N142" s="122"/>
      <c r="O142" s="6"/>
    </row>
    <row r="143" spans="1:15" s="25" customFormat="1" ht="13.5" customHeight="1" hidden="1">
      <c r="A143" s="22" t="s">
        <v>11</v>
      </c>
      <c r="B143" s="9"/>
      <c r="C143" s="9" t="s">
        <v>80</v>
      </c>
      <c r="D143" s="9" t="s">
        <v>81</v>
      </c>
      <c r="E143" s="9" t="s">
        <v>108</v>
      </c>
      <c r="F143" s="9" t="s">
        <v>121</v>
      </c>
      <c r="G143" s="9" t="s">
        <v>115</v>
      </c>
      <c r="H143" s="126">
        <f t="shared" si="7"/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>
      <c r="A144" s="22" t="s">
        <v>11</v>
      </c>
      <c r="B144" s="9"/>
      <c r="C144" s="9" t="s">
        <v>80</v>
      </c>
      <c r="D144" s="9" t="s">
        <v>81</v>
      </c>
      <c r="E144" s="9" t="s">
        <v>218</v>
      </c>
      <c r="F144" s="9" t="s">
        <v>121</v>
      </c>
      <c r="G144" s="9" t="s">
        <v>115</v>
      </c>
      <c r="H144" s="126">
        <f>N144</f>
        <v>2815.2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 t="s">
        <v>76</v>
      </c>
      <c r="N144" s="78">
        <v>2815.2</v>
      </c>
      <c r="O144" s="6"/>
    </row>
    <row r="145" spans="1:15" s="25" customFormat="1" ht="13.5" customHeight="1">
      <c r="A145" s="22" t="s">
        <v>12</v>
      </c>
      <c r="B145" s="9"/>
      <c r="C145" s="9" t="s">
        <v>80</v>
      </c>
      <c r="D145" s="9" t="s">
        <v>81</v>
      </c>
      <c r="E145" s="9" t="s">
        <v>218</v>
      </c>
      <c r="F145" s="9" t="s">
        <v>116</v>
      </c>
      <c r="G145" s="9" t="s">
        <v>115</v>
      </c>
      <c r="H145" s="126">
        <f t="shared" si="7"/>
        <v>13427.57</v>
      </c>
      <c r="I145" s="107" t="s">
        <v>76</v>
      </c>
      <c r="J145" s="107"/>
      <c r="K145" s="107" t="s">
        <v>76</v>
      </c>
      <c r="L145" s="107" t="s">
        <v>76</v>
      </c>
      <c r="M145" s="107"/>
      <c r="N145" s="433">
        <v>13427.57</v>
      </c>
      <c r="O145" s="6"/>
    </row>
    <row r="146" spans="1:15" s="25" customFormat="1" ht="13.5" customHeight="1">
      <c r="A146" s="22" t="s">
        <v>362</v>
      </c>
      <c r="B146" s="9"/>
      <c r="C146" s="9" t="s">
        <v>80</v>
      </c>
      <c r="D146" s="9" t="s">
        <v>81</v>
      </c>
      <c r="E146" s="9" t="s">
        <v>218</v>
      </c>
      <c r="F146" s="9" t="s">
        <v>361</v>
      </c>
      <c r="G146" s="9" t="s">
        <v>115</v>
      </c>
      <c r="H146" s="126">
        <f t="shared" si="7"/>
        <v>3408.3</v>
      </c>
      <c r="I146" s="107"/>
      <c r="J146" s="107"/>
      <c r="K146" s="107"/>
      <c r="L146" s="107"/>
      <c r="M146" s="107"/>
      <c r="N146" s="433">
        <v>3408.3</v>
      </c>
      <c r="O146" s="6"/>
    </row>
    <row r="147" spans="1:15" s="25" customFormat="1" ht="13.5" customHeight="1">
      <c r="A147" s="22" t="s">
        <v>12</v>
      </c>
      <c r="B147" s="9"/>
      <c r="C147" s="9" t="s">
        <v>80</v>
      </c>
      <c r="D147" s="9" t="s">
        <v>81</v>
      </c>
      <c r="E147" s="9" t="s">
        <v>108</v>
      </c>
      <c r="F147" s="9" t="s">
        <v>116</v>
      </c>
      <c r="G147" s="9" t="s">
        <v>115</v>
      </c>
      <c r="H147" s="126">
        <f>N147</f>
        <v>30000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 t="s">
        <v>76</v>
      </c>
      <c r="N147" s="78">
        <v>30000</v>
      </c>
      <c r="O147" s="6"/>
    </row>
    <row r="148" spans="1:15" s="25" customFormat="1" ht="13.5" customHeight="1">
      <c r="A148" s="22" t="s">
        <v>14</v>
      </c>
      <c r="B148" s="9"/>
      <c r="C148" s="9" t="s">
        <v>80</v>
      </c>
      <c r="D148" s="9" t="s">
        <v>81</v>
      </c>
      <c r="E148" s="9" t="s">
        <v>108</v>
      </c>
      <c r="F148" s="9" t="s">
        <v>118</v>
      </c>
      <c r="G148" s="9" t="s">
        <v>115</v>
      </c>
      <c r="H148" s="126">
        <f t="shared" si="7"/>
        <v>35000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/>
      <c r="N148" s="122">
        <v>35000</v>
      </c>
      <c r="O148" s="6"/>
    </row>
    <row r="149" spans="1:15" s="25" customFormat="1" ht="39" customHeight="1">
      <c r="A149" s="22" t="s">
        <v>363</v>
      </c>
      <c r="B149" s="9"/>
      <c r="C149" s="9" t="s">
        <v>80</v>
      </c>
      <c r="D149" s="9" t="s">
        <v>81</v>
      </c>
      <c r="E149" s="9" t="s">
        <v>218</v>
      </c>
      <c r="F149" s="9" t="s">
        <v>240</v>
      </c>
      <c r="G149" s="9" t="s">
        <v>115</v>
      </c>
      <c r="H149" s="126">
        <f t="shared" si="7"/>
        <v>3937.5</v>
      </c>
      <c r="I149" s="107" t="s">
        <v>76</v>
      </c>
      <c r="J149" s="107"/>
      <c r="K149" s="107" t="s">
        <v>76</v>
      </c>
      <c r="L149" s="107" t="s">
        <v>76</v>
      </c>
      <c r="M149" s="107"/>
      <c r="N149" s="99">
        <v>3937.5</v>
      </c>
      <c r="O149" s="6"/>
    </row>
    <row r="150" spans="1:15" s="25" customFormat="1" ht="30.75" customHeight="1">
      <c r="A150" s="431" t="s">
        <v>364</v>
      </c>
      <c r="B150" s="20"/>
      <c r="C150" s="9" t="s">
        <v>80</v>
      </c>
      <c r="D150" s="9" t="s">
        <v>81</v>
      </c>
      <c r="E150" s="9" t="s">
        <v>218</v>
      </c>
      <c r="F150" s="9" t="s">
        <v>242</v>
      </c>
      <c r="G150" s="9" t="s">
        <v>115</v>
      </c>
      <c r="H150" s="126">
        <f>N150</f>
        <v>7087.63</v>
      </c>
      <c r="I150" s="107" t="s">
        <v>76</v>
      </c>
      <c r="J150" s="108"/>
      <c r="K150" s="107" t="s">
        <v>76</v>
      </c>
      <c r="L150" s="108"/>
      <c r="M150" s="108"/>
      <c r="N150" s="78">
        <v>7087.63</v>
      </c>
      <c r="O150" s="6"/>
    </row>
    <row r="151" spans="1:15" s="25" customFormat="1" ht="30.75" customHeight="1">
      <c r="A151" s="431" t="s">
        <v>243</v>
      </c>
      <c r="B151" s="20"/>
      <c r="C151" s="9" t="s">
        <v>80</v>
      </c>
      <c r="D151" s="9" t="s">
        <v>81</v>
      </c>
      <c r="E151" s="9" t="s">
        <v>218</v>
      </c>
      <c r="F151" s="9" t="s">
        <v>244</v>
      </c>
      <c r="G151" s="9" t="s">
        <v>115</v>
      </c>
      <c r="H151" s="126">
        <f>N151</f>
        <v>3823.8</v>
      </c>
      <c r="I151" s="107"/>
      <c r="J151" s="108"/>
      <c r="K151" s="107"/>
      <c r="L151" s="108"/>
      <c r="M151" s="108"/>
      <c r="N151" s="78">
        <v>3823.8</v>
      </c>
      <c r="O151" s="6"/>
    </row>
    <row r="152" spans="1:15" s="25" customFormat="1" ht="27">
      <c r="A152" s="96" t="s">
        <v>129</v>
      </c>
      <c r="B152" s="32" t="s">
        <v>130</v>
      </c>
      <c r="C152" s="33" t="s">
        <v>76</v>
      </c>
      <c r="D152" s="33" t="s">
        <v>76</v>
      </c>
      <c r="E152" s="33" t="s">
        <v>76</v>
      </c>
      <c r="F152" s="33" t="s">
        <v>76</v>
      </c>
      <c r="G152" s="33" t="s">
        <v>76</v>
      </c>
      <c r="H152" s="130">
        <f>I152+N152+K152</f>
        <v>16689700</v>
      </c>
      <c r="I152" s="130">
        <f>I55+I58+I86+I87+I56+I71</f>
        <v>16679700</v>
      </c>
      <c r="J152" s="130"/>
      <c r="K152" s="130">
        <f>K136</f>
        <v>10000</v>
      </c>
      <c r="L152" s="134" t="s">
        <v>76</v>
      </c>
      <c r="M152" s="134" t="s">
        <v>76</v>
      </c>
      <c r="N152" s="130"/>
      <c r="O152" s="6" t="s">
        <v>76</v>
      </c>
    </row>
    <row r="153" spans="1:15" s="25" customFormat="1" ht="27">
      <c r="A153" s="96" t="s">
        <v>131</v>
      </c>
      <c r="B153" s="32" t="s">
        <v>132</v>
      </c>
      <c r="C153" s="33" t="s">
        <v>76</v>
      </c>
      <c r="D153" s="33" t="s">
        <v>76</v>
      </c>
      <c r="E153" s="33" t="s">
        <v>76</v>
      </c>
      <c r="F153" s="33" t="s">
        <v>76</v>
      </c>
      <c r="G153" s="33" t="s">
        <v>76</v>
      </c>
      <c r="H153" s="130">
        <f>H155+H154</f>
        <v>7306604.7</v>
      </c>
      <c r="I153" s="130">
        <f>I155+I154</f>
        <v>5028739</v>
      </c>
      <c r="J153" s="130">
        <f>J155+J154</f>
        <v>0</v>
      </c>
      <c r="K153" s="130">
        <f>K155+K154</f>
        <v>2178365.7</v>
      </c>
      <c r="L153" s="134"/>
      <c r="M153" s="134"/>
      <c r="N153" s="130">
        <f>N155+N154</f>
        <v>99500</v>
      </c>
      <c r="O153" s="6"/>
    </row>
    <row r="154" spans="1:15" s="25" customFormat="1" ht="24" customHeight="1">
      <c r="A154" s="96" t="s">
        <v>133</v>
      </c>
      <c r="B154" s="32" t="s">
        <v>134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0</v>
      </c>
      <c r="I154" s="130"/>
      <c r="J154" s="130"/>
      <c r="K154" s="130">
        <v>0</v>
      </c>
      <c r="L154" s="134"/>
      <c r="M154" s="134"/>
      <c r="N154" s="130">
        <v>0</v>
      </c>
      <c r="O154" s="6"/>
    </row>
    <row r="155" spans="1:15" s="25" customFormat="1" ht="12.75" customHeight="1">
      <c r="A155" s="96" t="s">
        <v>135</v>
      </c>
      <c r="B155" s="32" t="s">
        <v>136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I155+N155+K155</f>
        <v>7306604.7</v>
      </c>
      <c r="I155" s="130">
        <f>I60+I65+I66+I67+I68+I72+I77+I78+I80+I82+I83+I84+I85+I96+I91+I92+I73+I74+I75+I76+I93+I81+I70</f>
        <v>5028739</v>
      </c>
      <c r="J155" s="130"/>
      <c r="K155" s="130">
        <f>K100+K104+K133+K134+K118+K119+K120+K126+K128+K112+K113+K114+K115+K111+K138+K140+K125+K121+K122+K123+K106+K107++K108+K109</f>
        <v>2178365.7</v>
      </c>
      <c r="L155" s="134" t="s">
        <v>76</v>
      </c>
      <c r="M155" s="134" t="s">
        <v>76</v>
      </c>
      <c r="N155" s="130">
        <f>N142+N143+N145+N148+N149+N144+N147+N150+N146+N151</f>
        <v>99500</v>
      </c>
      <c r="O155" s="6" t="s">
        <v>76</v>
      </c>
    </row>
    <row r="156" spans="1:15" s="25" customFormat="1" ht="13.5" hidden="1">
      <c r="A156" s="8" t="s">
        <v>137</v>
      </c>
      <c r="B156" s="9" t="s">
        <v>138</v>
      </c>
      <c r="C156" s="34" t="s">
        <v>76</v>
      </c>
      <c r="D156" s="34" t="s">
        <v>76</v>
      </c>
      <c r="E156" s="34" t="s">
        <v>76</v>
      </c>
      <c r="F156" s="34" t="s">
        <v>76</v>
      </c>
      <c r="G156" s="34" t="s">
        <v>76</v>
      </c>
      <c r="H156" s="126">
        <f>I156+N156</f>
        <v>0</v>
      </c>
      <c r="I156" s="126">
        <v>0</v>
      </c>
      <c r="J156" s="126"/>
      <c r="K156" s="126"/>
      <c r="L156" s="135" t="s">
        <v>76</v>
      </c>
      <c r="M156" s="135" t="s">
        <v>76</v>
      </c>
      <c r="N156" s="126">
        <v>0</v>
      </c>
      <c r="O156" s="6" t="s">
        <v>76</v>
      </c>
    </row>
    <row r="157" spans="1:15" s="25" customFormat="1" ht="13.5" hidden="1">
      <c r="A157" s="20" t="s">
        <v>139</v>
      </c>
      <c r="B157" s="9" t="s">
        <v>118</v>
      </c>
      <c r="C157" s="34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126">
        <v>0</v>
      </c>
      <c r="I157" s="126">
        <v>0</v>
      </c>
      <c r="J157" s="126"/>
      <c r="K157" s="126"/>
      <c r="L157" s="135" t="s">
        <v>76</v>
      </c>
      <c r="M157" s="135" t="s">
        <v>76</v>
      </c>
      <c r="N157" s="126">
        <v>0</v>
      </c>
      <c r="O157" s="6" t="s">
        <v>76</v>
      </c>
    </row>
    <row r="158" spans="1:15" s="25" customFormat="1" ht="13.5" hidden="1">
      <c r="A158" s="20" t="s">
        <v>140</v>
      </c>
      <c r="B158" s="9" t="s">
        <v>141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142</v>
      </c>
      <c r="B159" s="9" t="s">
        <v>143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144</v>
      </c>
      <c r="B160" s="9" t="s">
        <v>145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146</v>
      </c>
      <c r="B161" s="9" t="s">
        <v>147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>
      <c r="A162" s="48" t="s">
        <v>137</v>
      </c>
      <c r="B162" s="49" t="s">
        <v>138</v>
      </c>
      <c r="C162" s="50" t="s">
        <v>173</v>
      </c>
      <c r="D162" s="49" t="s">
        <v>81</v>
      </c>
      <c r="E162" s="50" t="s">
        <v>174</v>
      </c>
      <c r="F162" s="50" t="s">
        <v>174</v>
      </c>
      <c r="G162" s="50" t="s">
        <v>175</v>
      </c>
      <c r="H162" s="132">
        <v>28653.9</v>
      </c>
      <c r="I162" s="136"/>
      <c r="J162" s="136"/>
      <c r="K162" s="136"/>
      <c r="L162" s="137"/>
      <c r="M162" s="137"/>
      <c r="N162" s="136"/>
      <c r="O162" s="6"/>
    </row>
    <row r="163" spans="1:15" s="25" customFormat="1" ht="13.5">
      <c r="A163" s="51" t="s">
        <v>142</v>
      </c>
      <c r="B163" s="49" t="s">
        <v>143</v>
      </c>
      <c r="C163" s="50" t="s">
        <v>173</v>
      </c>
      <c r="D163" s="49" t="s">
        <v>81</v>
      </c>
      <c r="E163" s="50" t="s">
        <v>174</v>
      </c>
      <c r="F163" s="50" t="s">
        <v>174</v>
      </c>
      <c r="G163" s="50" t="s">
        <v>176</v>
      </c>
      <c r="H163" s="132">
        <v>28653.9</v>
      </c>
      <c r="I163" s="136"/>
      <c r="J163" s="136"/>
      <c r="K163" s="136"/>
      <c r="L163" s="137"/>
      <c r="M163" s="137"/>
      <c r="N163" s="136"/>
      <c r="O163" s="6"/>
    </row>
    <row r="164" spans="1:15" s="25" customFormat="1" ht="13.5">
      <c r="A164" s="35" t="s">
        <v>148</v>
      </c>
      <c r="B164" s="36" t="s">
        <v>149</v>
      </c>
      <c r="C164" s="37" t="s">
        <v>76</v>
      </c>
      <c r="D164" s="37" t="s">
        <v>76</v>
      </c>
      <c r="E164" s="37" t="s">
        <v>76</v>
      </c>
      <c r="F164" s="37" t="s">
        <v>76</v>
      </c>
      <c r="G164" s="37" t="s">
        <v>76</v>
      </c>
      <c r="H164" s="133">
        <f>I164+K164+N164</f>
        <v>0</v>
      </c>
      <c r="I164" s="133">
        <v>0</v>
      </c>
      <c r="J164" s="133"/>
      <c r="K164" s="133"/>
      <c r="L164" s="138" t="s">
        <v>76</v>
      </c>
      <c r="M164" s="138" t="s">
        <v>76</v>
      </c>
      <c r="N164" s="133"/>
      <c r="O164" s="6" t="s">
        <v>76</v>
      </c>
    </row>
    <row r="165" spans="1:15" s="25" customFormat="1" ht="13.5">
      <c r="A165" s="20" t="s">
        <v>150</v>
      </c>
      <c r="B165" s="9" t="s">
        <v>151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7" ht="12.75">
      <c r="A167" s="88" t="s">
        <v>271</v>
      </c>
    </row>
    <row r="168" ht="12.75">
      <c r="A168" s="88"/>
    </row>
    <row r="169" ht="19.5" customHeight="1">
      <c r="A169" s="88" t="s">
        <v>17</v>
      </c>
    </row>
    <row r="170" ht="12.75">
      <c r="A170" s="88" t="s">
        <v>272</v>
      </c>
    </row>
    <row r="171" ht="12.75">
      <c r="A171" s="88"/>
    </row>
    <row r="172" ht="13.5" customHeight="1">
      <c r="A172" s="89"/>
    </row>
    <row r="173" ht="13.5" customHeight="1">
      <c r="A173" s="89"/>
    </row>
    <row r="174" ht="12.75" customHeight="1">
      <c r="A174" s="89"/>
    </row>
    <row r="175" ht="12.7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</sheetData>
  <sheetProtection/>
  <mergeCells count="83">
    <mergeCell ref="A1:O1"/>
    <mergeCell ref="B2:M2"/>
    <mergeCell ref="N2:O2"/>
    <mergeCell ref="A4:A6"/>
    <mergeCell ref="B4:B6"/>
    <mergeCell ref="D4:D6"/>
    <mergeCell ref="E4:E6"/>
    <mergeCell ref="G4:G6"/>
    <mergeCell ref="H4:O4"/>
    <mergeCell ref="H5:H6"/>
    <mergeCell ref="I5:O5"/>
    <mergeCell ref="N6:O6"/>
    <mergeCell ref="C4:C6"/>
    <mergeCell ref="B15:B22"/>
    <mergeCell ref="B10:B14"/>
    <mergeCell ref="C11:C13"/>
    <mergeCell ref="F4:F6"/>
    <mergeCell ref="E11:E13"/>
    <mergeCell ref="F11:F13"/>
    <mergeCell ref="J15:J16"/>
    <mergeCell ref="E16:E17"/>
    <mergeCell ref="F16:F17"/>
    <mergeCell ref="G16:G17"/>
    <mergeCell ref="A18:A22"/>
    <mergeCell ref="C18:C22"/>
    <mergeCell ref="F18:F22"/>
    <mergeCell ref="A16:A17"/>
    <mergeCell ref="C16:C17"/>
    <mergeCell ref="F60:F65"/>
    <mergeCell ref="A29:A34"/>
    <mergeCell ref="A44:A45"/>
    <mergeCell ref="C44:C45"/>
    <mergeCell ref="F44:F45"/>
    <mergeCell ref="F30:F34"/>
    <mergeCell ref="A39:A41"/>
    <mergeCell ref="F39:F41"/>
    <mergeCell ref="A35:A38"/>
    <mergeCell ref="C35:C38"/>
    <mergeCell ref="G77:G78"/>
    <mergeCell ref="A67:A68"/>
    <mergeCell ref="C67:C68"/>
    <mergeCell ref="E67:E68"/>
    <mergeCell ref="F67:F68"/>
    <mergeCell ref="F77:F78"/>
    <mergeCell ref="G67:G68"/>
    <mergeCell ref="E77:E78"/>
    <mergeCell ref="E72:E73"/>
    <mergeCell ref="A79:B79"/>
    <mergeCell ref="A82:A83"/>
    <mergeCell ref="C39:C41"/>
    <mergeCell ref="A60:A65"/>
    <mergeCell ref="C60:C65"/>
    <mergeCell ref="A54:B54"/>
    <mergeCell ref="A77:A78"/>
    <mergeCell ref="C77:C78"/>
    <mergeCell ref="C84:C85"/>
    <mergeCell ref="E84:E85"/>
    <mergeCell ref="G84:G85"/>
    <mergeCell ref="F84:F85"/>
    <mergeCell ref="G82:G83"/>
    <mergeCell ref="F82:F83"/>
    <mergeCell ref="C82:C83"/>
    <mergeCell ref="E82:E83"/>
    <mergeCell ref="A84:A85"/>
    <mergeCell ref="F125:F126"/>
    <mergeCell ref="A116:B116"/>
    <mergeCell ref="A118:A120"/>
    <mergeCell ref="F118:F120"/>
    <mergeCell ref="A125:A126"/>
    <mergeCell ref="C125:C126"/>
    <mergeCell ref="E125:E126"/>
    <mergeCell ref="A105:B105"/>
    <mergeCell ref="A110:B110"/>
    <mergeCell ref="G118:G120"/>
    <mergeCell ref="A97:B97"/>
    <mergeCell ref="A101:B101"/>
    <mergeCell ref="A141:B141"/>
    <mergeCell ref="C118:C120"/>
    <mergeCell ref="E118:E120"/>
    <mergeCell ref="G125:G126"/>
    <mergeCell ref="A127:B127"/>
    <mergeCell ref="A130:B130"/>
    <mergeCell ref="A132:B13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view="pageBreakPreview" zoomScaleSheetLayoutView="100" zoomScalePageLayoutView="0" workbookViewId="0" topLeftCell="A88">
      <selection activeCell="W164" sqref="W164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462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H10+H16+H24</f>
        <v>23998808.82</v>
      </c>
      <c r="I9" s="124">
        <f>I16</f>
        <v>21708439</v>
      </c>
      <c r="J9" s="124"/>
      <c r="K9" s="124">
        <f>K24</f>
        <v>2188365.7</v>
      </c>
      <c r="L9" s="125" t="s">
        <v>76</v>
      </c>
      <c r="M9" s="125" t="s">
        <v>76</v>
      </c>
      <c r="N9" s="124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489" t="s">
        <v>464</v>
      </c>
      <c r="B14" s="695"/>
      <c r="C14" s="490" t="s">
        <v>80</v>
      </c>
      <c r="D14" s="484" t="s">
        <v>81</v>
      </c>
      <c r="E14" s="491"/>
      <c r="F14" s="492" t="s">
        <v>465</v>
      </c>
      <c r="G14" s="484"/>
      <c r="H14" s="485">
        <f t="shared" si="0"/>
        <v>2504.12</v>
      </c>
      <c r="I14" s="493" t="s">
        <v>76</v>
      </c>
      <c r="J14" s="493"/>
      <c r="K14" s="493" t="s">
        <v>76</v>
      </c>
      <c r="L14" s="493"/>
      <c r="M14" s="493"/>
      <c r="N14" s="494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21708439</v>
      </c>
      <c r="I16" s="78">
        <f>I17+I19+I20+I18+I23</f>
        <v>21708439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17351100</v>
      </c>
      <c r="I18" s="359">
        <f>16689500+661600</f>
        <v>17351100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12.75">
      <c r="A24" s="72" t="s">
        <v>87</v>
      </c>
      <c r="B24" s="62" t="s">
        <v>88</v>
      </c>
      <c r="C24" s="62" t="s">
        <v>76</v>
      </c>
      <c r="D24" s="62" t="s">
        <v>76</v>
      </c>
      <c r="E24" s="62" t="s">
        <v>76</v>
      </c>
      <c r="F24" s="62" t="s">
        <v>76</v>
      </c>
      <c r="G24" s="62" t="s">
        <v>76</v>
      </c>
      <c r="H24" s="127">
        <f>K24</f>
        <v>2188365.7</v>
      </c>
      <c r="I24" s="102" t="s">
        <v>76</v>
      </c>
      <c r="J24" s="100"/>
      <c r="K24" s="100">
        <f>SUM(K25:K48)</f>
        <v>2188365.7</v>
      </c>
      <c r="L24" s="102" t="s">
        <v>76</v>
      </c>
      <c r="M24" s="102" t="s">
        <v>76</v>
      </c>
      <c r="N24" s="102" t="s">
        <v>76</v>
      </c>
      <c r="O24" s="7" t="s">
        <v>76</v>
      </c>
    </row>
    <row r="25" spans="1:16" ht="69" customHeight="1">
      <c r="A25" s="73" t="s">
        <v>45</v>
      </c>
      <c r="B25" s="62"/>
      <c r="C25" s="63" t="s">
        <v>21</v>
      </c>
      <c r="D25" s="389" t="s">
        <v>89</v>
      </c>
      <c r="E25" s="6"/>
      <c r="F25" s="6" t="s">
        <v>284</v>
      </c>
      <c r="G25" s="6"/>
      <c r="H25" s="390">
        <f>K25</f>
        <v>653340</v>
      </c>
      <c r="I25" s="107" t="s">
        <v>76</v>
      </c>
      <c r="J25" s="116"/>
      <c r="K25" s="391">
        <f>676900-23560</f>
        <v>653340</v>
      </c>
      <c r="L25" s="101" t="s">
        <v>76</v>
      </c>
      <c r="M25" s="101" t="s">
        <v>76</v>
      </c>
      <c r="N25" s="101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24.75" customHeight="1">
      <c r="A30" s="699" t="s">
        <v>280</v>
      </c>
      <c r="B30" s="62"/>
      <c r="C30" s="63" t="s">
        <v>50</v>
      </c>
      <c r="D30" s="6" t="s">
        <v>81</v>
      </c>
      <c r="E30" s="392"/>
      <c r="F30" s="6" t="s">
        <v>284</v>
      </c>
      <c r="G30" s="9"/>
      <c r="H30" s="126">
        <f>K30</f>
        <v>80000</v>
      </c>
      <c r="I30" s="107"/>
      <c r="J30" s="322"/>
      <c r="K30" s="78">
        <v>80000</v>
      </c>
      <c r="L30" s="323"/>
      <c r="M30" s="323"/>
      <c r="N30" s="107" t="s">
        <v>76</v>
      </c>
      <c r="O30" s="7"/>
    </row>
    <row r="31" spans="1:15" ht="21" customHeight="1" hidden="1">
      <c r="A31" s="700"/>
      <c r="B31" s="62"/>
      <c r="C31" s="63" t="s">
        <v>50</v>
      </c>
      <c r="D31" s="393" t="s">
        <v>332</v>
      </c>
      <c r="E31" s="20"/>
      <c r="F31" s="695" t="s">
        <v>284</v>
      </c>
      <c r="G31" s="9"/>
      <c r="H31" s="25"/>
      <c r="I31" s="107" t="s">
        <v>76</v>
      </c>
      <c r="J31" s="108"/>
      <c r="K31" s="109"/>
      <c r="L31" s="108"/>
      <c r="M31" s="108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214</v>
      </c>
      <c r="E32" s="9"/>
      <c r="F32" s="695"/>
      <c r="G32" s="9"/>
      <c r="H32" s="126">
        <f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333</v>
      </c>
      <c r="E33" s="9"/>
      <c r="F33" s="695"/>
      <c r="G33" s="9"/>
      <c r="H33" s="126">
        <f aca="true" t="shared" si="2" ref="H33:H48">K33</f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216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1"/>
      <c r="B35" s="62"/>
      <c r="C35" s="63" t="s">
        <v>50</v>
      </c>
      <c r="D35" s="9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>
      <c r="A36" s="741" t="s">
        <v>372</v>
      </c>
      <c r="B36" s="60"/>
      <c r="C36" s="693" t="s">
        <v>373</v>
      </c>
      <c r="D36" s="434" t="s">
        <v>332</v>
      </c>
      <c r="E36" s="9"/>
      <c r="F36" s="6" t="s">
        <v>284</v>
      </c>
      <c r="G36" s="9"/>
      <c r="H36" s="126">
        <f t="shared" si="2"/>
        <v>43200</v>
      </c>
      <c r="I36" s="107"/>
      <c r="J36" s="78"/>
      <c r="K36" s="78">
        <v>43200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214</v>
      </c>
      <c r="E37" s="9"/>
      <c r="F37" s="6" t="s">
        <v>284</v>
      </c>
      <c r="G37" s="9"/>
      <c r="H37" s="126">
        <f t="shared" si="2"/>
        <v>4800</v>
      </c>
      <c r="I37" s="107"/>
      <c r="J37" s="78"/>
      <c r="K37" s="78">
        <v>4800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333</v>
      </c>
      <c r="E38" s="9"/>
      <c r="F38" s="6" t="s">
        <v>284</v>
      </c>
      <c r="G38" s="9"/>
      <c r="H38" s="126">
        <f t="shared" si="2"/>
        <v>10800</v>
      </c>
      <c r="I38" s="107"/>
      <c r="J38" s="78"/>
      <c r="K38" s="78">
        <v>10800</v>
      </c>
      <c r="L38" s="26"/>
      <c r="M38" s="26"/>
      <c r="N38" s="107"/>
      <c r="O38" s="7"/>
    </row>
    <row r="39" spans="1:15" ht="12.75" customHeight="1">
      <c r="A39" s="743"/>
      <c r="B39" s="60"/>
      <c r="C39" s="694"/>
      <c r="D39" s="434" t="s">
        <v>216</v>
      </c>
      <c r="E39" s="9"/>
      <c r="F39" s="6" t="s">
        <v>284</v>
      </c>
      <c r="G39" s="9"/>
      <c r="H39" s="126">
        <f t="shared" si="2"/>
        <v>1200</v>
      </c>
      <c r="I39" s="107"/>
      <c r="J39" s="78"/>
      <c r="K39" s="78">
        <v>1200</v>
      </c>
      <c r="L39" s="26"/>
      <c r="M39" s="26"/>
      <c r="N39" s="107"/>
      <c r="O39" s="7"/>
    </row>
    <row r="40" spans="1:15" ht="12.75">
      <c r="A40" s="711" t="s">
        <v>155</v>
      </c>
      <c r="B40" s="62"/>
      <c r="C40" s="698" t="s">
        <v>51</v>
      </c>
      <c r="D40" s="6" t="s">
        <v>81</v>
      </c>
      <c r="E40" s="9"/>
      <c r="F40" s="693" t="s">
        <v>284</v>
      </c>
      <c r="G40" s="9"/>
      <c r="H40" s="126">
        <f t="shared" si="2"/>
        <v>201123.7</v>
      </c>
      <c r="I40" s="107" t="s">
        <v>76</v>
      </c>
      <c r="J40" s="78"/>
      <c r="K40" s="78">
        <f>195152.7+2985.5+2985.5</f>
        <v>201123.7</v>
      </c>
      <c r="L40" s="26"/>
      <c r="M40" s="26"/>
      <c r="N40" s="107" t="s">
        <v>76</v>
      </c>
      <c r="O40" s="7"/>
    </row>
    <row r="41" spans="1:21" ht="12.75">
      <c r="A41" s="711"/>
      <c r="B41" s="62"/>
      <c r="C41" s="698"/>
      <c r="D41" s="6" t="s">
        <v>166</v>
      </c>
      <c r="E41" s="9"/>
      <c r="F41" s="697"/>
      <c r="G41" s="9"/>
      <c r="H41" s="126">
        <f t="shared" si="2"/>
        <v>188911.8</v>
      </c>
      <c r="I41" s="107" t="s">
        <v>76</v>
      </c>
      <c r="J41" s="78"/>
      <c r="K41" s="78">
        <f>148024.8+20443.5+20443.5</f>
        <v>188911.8</v>
      </c>
      <c r="L41" s="26"/>
      <c r="M41" s="26"/>
      <c r="N41" s="107" t="s">
        <v>76</v>
      </c>
      <c r="O41" s="7"/>
      <c r="U41" s="392"/>
    </row>
    <row r="42" spans="1:15" ht="12.75">
      <c r="A42" s="711"/>
      <c r="B42" s="62"/>
      <c r="C42" s="698"/>
      <c r="D42" s="9" t="s">
        <v>196</v>
      </c>
      <c r="E42" s="9"/>
      <c r="F42" s="694"/>
      <c r="G42" s="9"/>
      <c r="H42" s="126">
        <f t="shared" si="2"/>
        <v>20990.2</v>
      </c>
      <c r="I42" s="107" t="s">
        <v>76</v>
      </c>
      <c r="J42" s="78"/>
      <c r="K42" s="78">
        <f>16447.2+2271.5+2271.5</f>
        <v>20990.2</v>
      </c>
      <c r="L42" s="26"/>
      <c r="M42" s="26"/>
      <c r="N42" s="107" t="s">
        <v>76</v>
      </c>
      <c r="O42" s="7"/>
    </row>
    <row r="43" spans="1:15" ht="63.75">
      <c r="A43" s="65" t="s">
        <v>43</v>
      </c>
      <c r="B43" s="66"/>
      <c r="C43" s="368" t="s">
        <v>42</v>
      </c>
      <c r="D43" s="6" t="s">
        <v>162</v>
      </c>
      <c r="E43" s="9"/>
      <c r="F43" s="6" t="s">
        <v>284</v>
      </c>
      <c r="G43" s="9"/>
      <c r="H43" s="126">
        <f t="shared" si="2"/>
        <v>950000</v>
      </c>
      <c r="I43" s="107" t="s">
        <v>76</v>
      </c>
      <c r="J43" s="78"/>
      <c r="K43" s="78">
        <v>950000</v>
      </c>
      <c r="L43" s="26"/>
      <c r="M43" s="26"/>
      <c r="N43" s="107" t="s">
        <v>76</v>
      </c>
      <c r="O43" s="7"/>
    </row>
    <row r="44" spans="1:21" ht="25.5">
      <c r="A44" s="65" t="s">
        <v>225</v>
      </c>
      <c r="B44" s="66"/>
      <c r="C44" s="59" t="s">
        <v>203</v>
      </c>
      <c r="D44" s="59" t="s">
        <v>81</v>
      </c>
      <c r="E44" s="59"/>
      <c r="F44" s="6" t="s">
        <v>284</v>
      </c>
      <c r="G44" s="9"/>
      <c r="H44" s="126">
        <f t="shared" si="2"/>
        <v>10000</v>
      </c>
      <c r="I44" s="107" t="s">
        <v>76</v>
      </c>
      <c r="J44" s="78"/>
      <c r="K44" s="78">
        <v>10000</v>
      </c>
      <c r="L44" s="26"/>
      <c r="M44" s="26"/>
      <c r="N44" s="107" t="s">
        <v>76</v>
      </c>
      <c r="O44" s="7"/>
      <c r="U44" s="469"/>
    </row>
    <row r="45" spans="1:15" ht="21" customHeight="1" hidden="1">
      <c r="A45" s="689" t="s">
        <v>199</v>
      </c>
      <c r="B45" s="66"/>
      <c r="C45" s="690" t="s">
        <v>192</v>
      </c>
      <c r="D45" s="59" t="s">
        <v>193</v>
      </c>
      <c r="E45" s="59"/>
      <c r="F45" s="693" t="s">
        <v>209</v>
      </c>
      <c r="G45" s="9"/>
      <c r="H45" s="126">
        <f t="shared" si="2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18" customHeight="1" hidden="1">
      <c r="A46" s="689"/>
      <c r="B46" s="66"/>
      <c r="C46" s="690"/>
      <c r="D46" s="59" t="s">
        <v>196</v>
      </c>
      <c r="E46" s="59"/>
      <c r="F46" s="694"/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38.25" hidden="1">
      <c r="A47" s="22" t="s">
        <v>49</v>
      </c>
      <c r="B47" s="6"/>
      <c r="C47" s="6" t="s">
        <v>23</v>
      </c>
      <c r="D47" s="6" t="s">
        <v>228</v>
      </c>
      <c r="E47" s="6"/>
      <c r="F47" s="6" t="s">
        <v>209</v>
      </c>
      <c r="G47" s="6"/>
      <c r="H47" s="129">
        <f t="shared" si="2"/>
        <v>0</v>
      </c>
      <c r="I47" s="26"/>
      <c r="J47" s="26"/>
      <c r="K47" s="78"/>
      <c r="L47" s="26"/>
      <c r="M47" s="26"/>
      <c r="N47" s="26"/>
      <c r="O47" s="7"/>
    </row>
    <row r="48" spans="1:15" ht="22.5" customHeight="1" hidden="1">
      <c r="A48" s="8" t="s">
        <v>229</v>
      </c>
      <c r="B48" s="6"/>
      <c r="C48" s="22" t="s">
        <v>230</v>
      </c>
      <c r="D48" s="6" t="s">
        <v>81</v>
      </c>
      <c r="E48" s="9"/>
      <c r="F48" s="15" t="s">
        <v>209</v>
      </c>
      <c r="G48" s="9"/>
      <c r="H48" s="126">
        <f t="shared" si="2"/>
        <v>0</v>
      </c>
      <c r="I48" s="107"/>
      <c r="J48" s="78"/>
      <c r="K48" s="26"/>
      <c r="L48" s="26"/>
      <c r="M48" s="26"/>
      <c r="N48" s="26"/>
      <c r="O48" s="7"/>
    </row>
    <row r="49" spans="1:21" s="25" customFormat="1" ht="17.25" customHeight="1">
      <c r="A49" s="23" t="s">
        <v>94</v>
      </c>
      <c r="B49" s="24" t="s">
        <v>95</v>
      </c>
      <c r="C49" s="56" t="s">
        <v>76</v>
      </c>
      <c r="D49" s="56" t="s">
        <v>76</v>
      </c>
      <c r="E49" s="56" t="s">
        <v>76</v>
      </c>
      <c r="F49" s="56" t="s">
        <v>76</v>
      </c>
      <c r="G49" s="56" t="s">
        <v>76</v>
      </c>
      <c r="H49" s="130">
        <f>I49+N49+K49</f>
        <v>23998808.82</v>
      </c>
      <c r="I49" s="130">
        <f>I55+I80+I98</f>
        <v>21708439</v>
      </c>
      <c r="J49" s="130"/>
      <c r="K49" s="130">
        <f>K98+K102+K104+K117+K128+K131+K133+K111+K136+K138+K140+K106</f>
        <v>2188365.7</v>
      </c>
      <c r="L49" s="130"/>
      <c r="M49" s="130"/>
      <c r="N49" s="130">
        <f>N142</f>
        <v>102004.12000000001</v>
      </c>
      <c r="O49" s="95"/>
      <c r="U49" s="380"/>
    </row>
    <row r="50" spans="1:15" s="25" customFormat="1" ht="18" customHeight="1">
      <c r="A50" s="8" t="s">
        <v>96</v>
      </c>
      <c r="B50" s="9" t="s">
        <v>97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16583596</v>
      </c>
      <c r="I50" s="78">
        <f>I51+I53</f>
        <v>16583596</v>
      </c>
      <c r="J50" s="78"/>
      <c r="K50" s="78"/>
      <c r="L50" s="78"/>
      <c r="M50" s="78"/>
      <c r="N50" s="78"/>
      <c r="O50" s="7" t="s">
        <v>76</v>
      </c>
    </row>
    <row r="51" spans="1:15" s="25" customFormat="1" ht="25.5">
      <c r="A51" s="22" t="s">
        <v>98</v>
      </c>
      <c r="B51" s="9" t="s">
        <v>99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16583596</v>
      </c>
      <c r="I51" s="78">
        <f>I56+I57+I59+I60</f>
        <v>16583596</v>
      </c>
      <c r="J51" s="78"/>
      <c r="K51" s="78"/>
      <c r="L51" s="78"/>
      <c r="M51" s="78"/>
      <c r="N51" s="78"/>
      <c r="O51" s="7" t="s">
        <v>76</v>
      </c>
    </row>
    <row r="52" spans="1:15" s="25" customFormat="1" ht="9.75" customHeight="1" hidden="1">
      <c r="A52" s="8" t="s">
        <v>100</v>
      </c>
      <c r="B52" s="9" t="s">
        <v>101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/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25.5" hidden="1">
      <c r="A53" s="8" t="s">
        <v>102</v>
      </c>
      <c r="B53" s="9" t="s">
        <v>103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0</v>
      </c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13.5" customHeight="1" hidden="1">
      <c r="A54" s="8" t="s">
        <v>104</v>
      </c>
      <c r="B54" s="9" t="s">
        <v>105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v>0</v>
      </c>
      <c r="I54" s="78">
        <v>0</v>
      </c>
      <c r="J54" s="78"/>
      <c r="K54" s="78"/>
      <c r="L54" s="78"/>
      <c r="M54" s="78"/>
      <c r="N54" s="78"/>
      <c r="O54" s="21"/>
    </row>
    <row r="55" spans="1:15" s="25" customFormat="1" ht="29.25" customHeight="1">
      <c r="A55" s="681" t="s">
        <v>428</v>
      </c>
      <c r="B55" s="683"/>
      <c r="C55" s="27" t="s">
        <v>18</v>
      </c>
      <c r="D55" s="3"/>
      <c r="E55" s="27"/>
      <c r="F55" s="3"/>
      <c r="G55" s="3"/>
      <c r="H55" s="124">
        <f>SUM(H56:H79)</f>
        <v>17759400</v>
      </c>
      <c r="I55" s="97">
        <f>SUM(I56:I79)</f>
        <v>17759400</v>
      </c>
      <c r="J55" s="110"/>
      <c r="K55" s="111" t="s">
        <v>107</v>
      </c>
      <c r="L55" s="111"/>
      <c r="M55" s="111"/>
      <c r="N55" s="111" t="s">
        <v>107</v>
      </c>
      <c r="O55" s="28"/>
    </row>
    <row r="56" spans="1:15" s="25" customFormat="1" ht="12.75">
      <c r="A56" s="22" t="s">
        <v>4</v>
      </c>
      <c r="B56" s="9"/>
      <c r="C56" s="6" t="s">
        <v>18</v>
      </c>
      <c r="D56" s="14">
        <v>14130030000000000</v>
      </c>
      <c r="E56" s="6" t="s">
        <v>108</v>
      </c>
      <c r="F56" s="6" t="s">
        <v>99</v>
      </c>
      <c r="G56" s="6" t="s">
        <v>109</v>
      </c>
      <c r="H56" s="126">
        <f>I56</f>
        <v>12728596</v>
      </c>
      <c r="I56" s="112">
        <f>12739000-10404</f>
        <v>12728596</v>
      </c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 t="s">
        <v>76</v>
      </c>
    </row>
    <row r="57" spans="1:15" s="25" customFormat="1" ht="15.75" customHeight="1" hidden="1">
      <c r="A57" s="22" t="s">
        <v>5</v>
      </c>
      <c r="B57" s="9"/>
      <c r="C57" s="6" t="s">
        <v>18</v>
      </c>
      <c r="D57" s="9" t="s">
        <v>81</v>
      </c>
      <c r="E57" s="6" t="s">
        <v>108</v>
      </c>
      <c r="F57" s="6" t="s">
        <v>110</v>
      </c>
      <c r="G57" s="6" t="s">
        <v>111</v>
      </c>
      <c r="H57" s="126">
        <f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/>
    </row>
    <row r="58" spans="1:15" s="25" customFormat="1" ht="12.75" hidden="1">
      <c r="A58" s="22" t="s">
        <v>5</v>
      </c>
      <c r="B58" s="9"/>
      <c r="C58" s="9"/>
      <c r="D58" s="15"/>
      <c r="E58" s="9"/>
      <c r="F58" s="9" t="s">
        <v>110</v>
      </c>
      <c r="G58" s="9" t="s">
        <v>111</v>
      </c>
      <c r="H58" s="126">
        <f aca="true" t="shared" si="3" ref="H58:H79">I58</f>
        <v>0</v>
      </c>
      <c r="I58" s="78"/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>
      <c r="A59" s="81" t="s">
        <v>6</v>
      </c>
      <c r="B59" s="9"/>
      <c r="C59" s="6" t="s">
        <v>18</v>
      </c>
      <c r="D59" s="14">
        <v>14130030000000000</v>
      </c>
      <c r="E59" s="6" t="s">
        <v>108</v>
      </c>
      <c r="F59" s="6" t="s">
        <v>112</v>
      </c>
      <c r="G59" s="6" t="s">
        <v>113</v>
      </c>
      <c r="H59" s="126">
        <f t="shared" si="3"/>
        <v>3855000</v>
      </c>
      <c r="I59" s="78">
        <v>3855000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 t="s">
        <v>76</v>
      </c>
    </row>
    <row r="60" spans="1:15" s="25" customFormat="1" ht="12.75" hidden="1">
      <c r="A60" s="86"/>
      <c r="B60" s="12"/>
      <c r="C60" s="60"/>
      <c r="D60" s="30">
        <v>14130030000000000</v>
      </c>
      <c r="E60" s="29"/>
      <c r="F60" s="31"/>
      <c r="G60" s="31"/>
      <c r="H60" s="126">
        <f t="shared" si="3"/>
        <v>0</v>
      </c>
      <c r="I60" s="78"/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3.5" customHeight="1">
      <c r="A61" s="691" t="s">
        <v>7</v>
      </c>
      <c r="B61" s="9"/>
      <c r="C61" s="693" t="s">
        <v>18</v>
      </c>
      <c r="D61" s="9" t="s">
        <v>81</v>
      </c>
      <c r="E61" s="9" t="s">
        <v>108</v>
      </c>
      <c r="F61" s="693" t="s">
        <v>114</v>
      </c>
      <c r="G61" s="9" t="s">
        <v>115</v>
      </c>
      <c r="H61" s="126">
        <f t="shared" si="3"/>
        <v>32600</v>
      </c>
      <c r="I61" s="113">
        <v>32600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 t="s">
        <v>115</v>
      </c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>
      <c r="A66" s="692"/>
      <c r="B66" s="9"/>
      <c r="C66" s="694"/>
      <c r="D66" s="14">
        <v>14130030000000000</v>
      </c>
      <c r="E66" s="9" t="s">
        <v>108</v>
      </c>
      <c r="F66" s="694"/>
      <c r="G66" s="9" t="s">
        <v>115</v>
      </c>
      <c r="H66" s="126">
        <f t="shared" si="3"/>
        <v>50155</v>
      </c>
      <c r="I66" s="106">
        <f>30000+20155</f>
        <v>50155</v>
      </c>
      <c r="J66" s="78"/>
      <c r="K66" s="107" t="s">
        <v>76</v>
      </c>
      <c r="L66" s="107"/>
      <c r="M66" s="107"/>
      <c r="N66" s="107" t="s">
        <v>76</v>
      </c>
      <c r="O66" s="6"/>
    </row>
    <row r="67" spans="1:15" s="25" customFormat="1" ht="12.75" customHeight="1">
      <c r="A67" s="16" t="s">
        <v>8</v>
      </c>
      <c r="B67" s="9"/>
      <c r="C67" s="6" t="s">
        <v>18</v>
      </c>
      <c r="D67" s="9" t="s">
        <v>81</v>
      </c>
      <c r="E67" s="10" t="s">
        <v>108</v>
      </c>
      <c r="F67" s="11" t="s">
        <v>128</v>
      </c>
      <c r="G67" s="10" t="s">
        <v>115</v>
      </c>
      <c r="H67" s="126">
        <f t="shared" si="3"/>
        <v>102000</v>
      </c>
      <c r="I67" s="113">
        <v>102000</v>
      </c>
      <c r="J67" s="78"/>
      <c r="K67" s="107" t="s">
        <v>76</v>
      </c>
      <c r="L67" s="107"/>
      <c r="M67" s="107"/>
      <c r="N67" s="107" t="s">
        <v>76</v>
      </c>
      <c r="O67" s="6"/>
    </row>
    <row r="68" spans="1:15" s="25" customFormat="1" ht="12.75">
      <c r="A68" s="684" t="s">
        <v>12</v>
      </c>
      <c r="B68" s="9"/>
      <c r="C68" s="693" t="s">
        <v>18</v>
      </c>
      <c r="D68" s="9" t="s">
        <v>81</v>
      </c>
      <c r="E68" s="693" t="s">
        <v>108</v>
      </c>
      <c r="F68" s="693" t="s">
        <v>116</v>
      </c>
      <c r="G68" s="693" t="s">
        <v>115</v>
      </c>
      <c r="H68" s="126">
        <f t="shared" si="3"/>
        <v>250700</v>
      </c>
      <c r="I68" s="113">
        <f>216300+56000-21600</f>
        <v>250700</v>
      </c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>
      <c r="A69" s="686"/>
      <c r="B69" s="9"/>
      <c r="C69" s="694"/>
      <c r="D69" s="14">
        <v>14130030000000000</v>
      </c>
      <c r="E69" s="694"/>
      <c r="F69" s="694"/>
      <c r="G69" s="694"/>
      <c r="H69" s="126">
        <f t="shared" si="3"/>
        <v>0</v>
      </c>
      <c r="I69" s="79"/>
      <c r="J69" s="78"/>
      <c r="K69" s="107" t="s">
        <v>76</v>
      </c>
      <c r="L69" s="107" t="s">
        <v>76</v>
      </c>
      <c r="M69" s="107" t="s">
        <v>76</v>
      </c>
      <c r="N69" s="107" t="s">
        <v>76</v>
      </c>
      <c r="O69" s="6"/>
    </row>
    <row r="70" spans="1:15" s="25" customFormat="1" ht="12.75">
      <c r="A70" s="22" t="s">
        <v>13</v>
      </c>
      <c r="B70" s="9"/>
      <c r="C70" s="9"/>
      <c r="D70" s="15"/>
      <c r="E70" s="9"/>
      <c r="F70" s="9" t="s">
        <v>117</v>
      </c>
      <c r="G70" s="9" t="s">
        <v>115</v>
      </c>
      <c r="H70" s="126">
        <f>I70</f>
        <v>0</v>
      </c>
      <c r="I70" s="78"/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22" t="s">
        <v>427</v>
      </c>
      <c r="B71" s="9"/>
      <c r="C71" s="6" t="s">
        <v>18</v>
      </c>
      <c r="D71" s="9" t="s">
        <v>81</v>
      </c>
      <c r="E71" s="471" t="s">
        <v>232</v>
      </c>
      <c r="F71" s="9" t="s">
        <v>116</v>
      </c>
      <c r="G71" s="10" t="s">
        <v>115</v>
      </c>
      <c r="H71" s="126">
        <f t="shared" si="3"/>
        <v>21600</v>
      </c>
      <c r="I71" s="78">
        <v>21600</v>
      </c>
      <c r="J71" s="78"/>
      <c r="K71" s="107"/>
      <c r="L71" s="107"/>
      <c r="M71" s="107"/>
      <c r="N71" s="107"/>
      <c r="O71" s="6"/>
    </row>
    <row r="72" spans="1:15" s="25" customFormat="1" ht="25.5">
      <c r="A72" s="22" t="s">
        <v>245</v>
      </c>
      <c r="B72" s="9"/>
      <c r="C72" s="9" t="s">
        <v>18</v>
      </c>
      <c r="D72" s="14">
        <v>14130010000000000</v>
      </c>
      <c r="E72" s="9" t="s">
        <v>108</v>
      </c>
      <c r="F72" s="9" t="s">
        <v>246</v>
      </c>
      <c r="G72" s="10" t="s">
        <v>109</v>
      </c>
      <c r="H72" s="126">
        <f>I72</f>
        <v>35904</v>
      </c>
      <c r="I72" s="78">
        <f>25500+10404</f>
        <v>35904</v>
      </c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22" t="s">
        <v>14</v>
      </c>
      <c r="B73" s="9"/>
      <c r="C73" s="9" t="s">
        <v>18</v>
      </c>
      <c r="D73" s="14">
        <v>14130030000000000</v>
      </c>
      <c r="E73" s="695" t="s">
        <v>108</v>
      </c>
      <c r="F73" s="9" t="s">
        <v>118</v>
      </c>
      <c r="G73" s="9" t="s">
        <v>115</v>
      </c>
      <c r="H73" s="126">
        <f t="shared" si="3"/>
        <v>641445</v>
      </c>
      <c r="I73" s="79">
        <v>641445</v>
      </c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51" hidden="1">
      <c r="A74" s="82" t="s">
        <v>237</v>
      </c>
      <c r="B74" s="9"/>
      <c r="C74" s="83" t="s">
        <v>18</v>
      </c>
      <c r="D74" s="9" t="s">
        <v>81</v>
      </c>
      <c r="E74" s="695"/>
      <c r="F74" s="84" t="s">
        <v>238</v>
      </c>
      <c r="G74" s="84" t="s">
        <v>115</v>
      </c>
      <c r="H74" s="126">
        <f t="shared" si="3"/>
        <v>0</v>
      </c>
      <c r="I74" s="113"/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38.25">
      <c r="A75" s="82" t="s">
        <v>239</v>
      </c>
      <c r="B75" s="9"/>
      <c r="C75" s="83" t="s">
        <v>18</v>
      </c>
      <c r="D75" s="9" t="s">
        <v>81</v>
      </c>
      <c r="E75" s="83" t="s">
        <v>108</v>
      </c>
      <c r="F75" s="84" t="s">
        <v>240</v>
      </c>
      <c r="G75" s="84" t="s">
        <v>115</v>
      </c>
      <c r="H75" s="126">
        <f t="shared" si="3"/>
        <v>1400</v>
      </c>
      <c r="I75" s="106">
        <v>1400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22" t="s">
        <v>241</v>
      </c>
      <c r="B76" s="9"/>
      <c r="C76" s="9" t="s">
        <v>18</v>
      </c>
      <c r="D76" s="14">
        <v>14130030000000000</v>
      </c>
      <c r="E76" s="10" t="s">
        <v>108</v>
      </c>
      <c r="F76" s="9" t="s">
        <v>242</v>
      </c>
      <c r="G76" s="9" t="s">
        <v>115</v>
      </c>
      <c r="H76" s="126">
        <f t="shared" si="3"/>
        <v>40000</v>
      </c>
      <c r="I76" s="376">
        <f>20000+20000</f>
        <v>40000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25.5">
      <c r="A77" s="394" t="s">
        <v>243</v>
      </c>
      <c r="B77" s="6"/>
      <c r="C77" s="6" t="s">
        <v>18</v>
      </c>
      <c r="D77" s="395">
        <v>14130030000000000</v>
      </c>
      <c r="E77" s="6" t="s">
        <v>108</v>
      </c>
      <c r="F77" s="6" t="s">
        <v>244</v>
      </c>
      <c r="G77" s="6" t="s">
        <v>115</v>
      </c>
      <c r="H77" s="126">
        <f t="shared" si="3"/>
        <v>0</v>
      </c>
      <c r="I77" s="376">
        <f>20000-20000</f>
        <v>0</v>
      </c>
      <c r="J77" s="107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12.75" hidden="1">
      <c r="A78" s="691" t="s">
        <v>188</v>
      </c>
      <c r="B78" s="9"/>
      <c r="C78" s="693" t="s">
        <v>18</v>
      </c>
      <c r="D78" s="9" t="s">
        <v>81</v>
      </c>
      <c r="E78" s="693" t="s">
        <v>108</v>
      </c>
      <c r="F78" s="693" t="s">
        <v>119</v>
      </c>
      <c r="G78" s="693" t="s">
        <v>115</v>
      </c>
      <c r="H78" s="126">
        <f t="shared" si="3"/>
        <v>0</v>
      </c>
      <c r="I78" s="78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/>
    </row>
    <row r="79" spans="1:15" s="25" customFormat="1" ht="12.75" hidden="1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0</v>
      </c>
      <c r="I79" s="79"/>
      <c r="J79" s="100"/>
      <c r="K79" s="101" t="s">
        <v>76</v>
      </c>
      <c r="L79" s="101" t="s">
        <v>76</v>
      </c>
      <c r="M79" s="101" t="s">
        <v>76</v>
      </c>
      <c r="N79" s="101" t="s">
        <v>76</v>
      </c>
      <c r="O79" s="6" t="s">
        <v>76</v>
      </c>
    </row>
    <row r="80" spans="1:15" s="25" customFormat="1" ht="27.75" customHeight="1">
      <c r="A80" s="681" t="s">
        <v>189</v>
      </c>
      <c r="B80" s="683"/>
      <c r="C80" s="27" t="s">
        <v>20</v>
      </c>
      <c r="D80" s="3"/>
      <c r="E80" s="27"/>
      <c r="F80" s="3"/>
      <c r="G80" s="3"/>
      <c r="H80" s="124">
        <f>I80</f>
        <v>3949039</v>
      </c>
      <c r="I80" s="97">
        <f>SUM(I81:I97)</f>
        <v>3949039</v>
      </c>
      <c r="J80" s="110"/>
      <c r="K80" s="111" t="s">
        <v>107</v>
      </c>
      <c r="L80" s="111"/>
      <c r="M80" s="111"/>
      <c r="N80" s="111" t="s">
        <v>107</v>
      </c>
      <c r="O80" s="28"/>
    </row>
    <row r="81" spans="1:15" s="25" customFormat="1" ht="15" customHeight="1">
      <c r="A81" s="22" t="s">
        <v>9</v>
      </c>
      <c r="B81" s="9"/>
      <c r="C81" s="9" t="s">
        <v>20</v>
      </c>
      <c r="D81" s="9" t="s">
        <v>81</v>
      </c>
      <c r="E81" s="9" t="s">
        <v>108</v>
      </c>
      <c r="F81" s="9" t="s">
        <v>120</v>
      </c>
      <c r="G81" s="9" t="s">
        <v>115</v>
      </c>
      <c r="H81" s="126">
        <f>I81</f>
        <v>934139</v>
      </c>
      <c r="I81" s="78">
        <f>1083500-149361</f>
        <v>934139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5" customHeight="1">
      <c r="A82" s="82" t="s">
        <v>8</v>
      </c>
      <c r="B82" s="9"/>
      <c r="C82" s="9" t="s">
        <v>20</v>
      </c>
      <c r="D82" s="9" t="s">
        <v>81</v>
      </c>
      <c r="E82" s="10" t="s">
        <v>108</v>
      </c>
      <c r="F82" s="10" t="s">
        <v>128</v>
      </c>
      <c r="G82" s="10" t="s">
        <v>115</v>
      </c>
      <c r="H82" s="126">
        <f>I82</f>
        <v>17547.48</v>
      </c>
      <c r="I82" s="78">
        <v>17547.48</v>
      </c>
      <c r="J82" s="78"/>
      <c r="K82" s="107"/>
      <c r="L82" s="107"/>
      <c r="M82" s="107"/>
      <c r="N82" s="107"/>
      <c r="O82" s="6"/>
    </row>
    <row r="83" spans="1:15" s="25" customFormat="1" ht="15" customHeight="1">
      <c r="A83" s="691" t="s">
        <v>11</v>
      </c>
      <c r="B83" s="9"/>
      <c r="C83" s="693" t="s">
        <v>20</v>
      </c>
      <c r="D83" s="9" t="s">
        <v>81</v>
      </c>
      <c r="E83" s="693" t="s">
        <v>108</v>
      </c>
      <c r="F83" s="693" t="s">
        <v>121</v>
      </c>
      <c r="G83" s="693" t="s">
        <v>115</v>
      </c>
      <c r="H83" s="126">
        <f aca="true" t="shared" si="4" ref="H83:H97">I83</f>
        <v>231900</v>
      </c>
      <c r="I83" s="112">
        <f>246900-15000</f>
        <v>231900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4"/>
        <v>2020000</v>
      </c>
      <c r="I84" s="112">
        <v>2020000</v>
      </c>
      <c r="J84" s="362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691" t="s">
        <v>12</v>
      </c>
      <c r="B85" s="9"/>
      <c r="C85" s="693" t="s">
        <v>20</v>
      </c>
      <c r="D85" s="9" t="s">
        <v>81</v>
      </c>
      <c r="E85" s="693" t="s">
        <v>108</v>
      </c>
      <c r="F85" s="693" t="s">
        <v>116</v>
      </c>
      <c r="G85" s="693" t="s">
        <v>115</v>
      </c>
      <c r="H85" s="126">
        <f t="shared" si="4"/>
        <v>82352.52</v>
      </c>
      <c r="I85" s="78">
        <f>99900-17547.48</f>
        <v>82352.52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692"/>
      <c r="B86" s="9"/>
      <c r="C86" s="694"/>
      <c r="D86" s="14">
        <v>14130030000000000</v>
      </c>
      <c r="E86" s="694"/>
      <c r="F86" s="694"/>
      <c r="G86" s="694"/>
      <c r="H86" s="126">
        <f t="shared" si="4"/>
        <v>534800</v>
      </c>
      <c r="I86" s="115">
        <v>534800</v>
      </c>
      <c r="J86" s="78"/>
      <c r="K86" s="107" t="s">
        <v>76</v>
      </c>
      <c r="L86" s="107"/>
      <c r="M86" s="107"/>
      <c r="N86" s="107" t="s">
        <v>76</v>
      </c>
      <c r="O86" s="6"/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122</v>
      </c>
      <c r="H87" s="126">
        <f t="shared" si="4"/>
        <v>55400</v>
      </c>
      <c r="I87" s="78">
        <v>55400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22" t="s">
        <v>249</v>
      </c>
      <c r="B88" s="9"/>
      <c r="C88" s="9" t="s">
        <v>20</v>
      </c>
      <c r="D88" s="9" t="s">
        <v>81</v>
      </c>
      <c r="E88" s="9" t="s">
        <v>108</v>
      </c>
      <c r="F88" s="9" t="s">
        <v>206</v>
      </c>
      <c r="G88" s="9" t="s">
        <v>250</v>
      </c>
      <c r="H88" s="126">
        <f t="shared" si="4"/>
        <v>4800</v>
      </c>
      <c r="I88" s="79">
        <v>4800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 hidden="1">
      <c r="A89" s="22" t="s">
        <v>14</v>
      </c>
      <c r="B89" s="9"/>
      <c r="C89" s="9" t="s">
        <v>20</v>
      </c>
      <c r="D89" s="9" t="s">
        <v>81</v>
      </c>
      <c r="E89" s="9" t="s">
        <v>124</v>
      </c>
      <c r="F89" s="9" t="s">
        <v>118</v>
      </c>
      <c r="G89" s="9" t="s">
        <v>115</v>
      </c>
      <c r="H89" s="126">
        <f t="shared" si="4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51" hidden="1">
      <c r="A90" s="82" t="s">
        <v>237</v>
      </c>
      <c r="B90" s="9"/>
      <c r="C90" s="83" t="s">
        <v>18</v>
      </c>
      <c r="D90" s="9" t="s">
        <v>81</v>
      </c>
      <c r="E90" s="83" t="s">
        <v>124</v>
      </c>
      <c r="F90" s="84" t="s">
        <v>238</v>
      </c>
      <c r="G90" s="84" t="s">
        <v>115</v>
      </c>
      <c r="H90" s="126">
        <f t="shared" si="4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38.25" hidden="1">
      <c r="A91" s="82" t="s">
        <v>239</v>
      </c>
      <c r="B91" s="9"/>
      <c r="C91" s="83" t="s">
        <v>18</v>
      </c>
      <c r="D91" s="9" t="s">
        <v>81</v>
      </c>
      <c r="E91" s="83" t="s">
        <v>124</v>
      </c>
      <c r="F91" s="84" t="s">
        <v>240</v>
      </c>
      <c r="G91" s="84" t="s">
        <v>115</v>
      </c>
      <c r="H91" s="126">
        <f t="shared" si="4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85" t="s">
        <v>248</v>
      </c>
      <c r="B92" s="9"/>
      <c r="C92" s="9" t="s">
        <v>20</v>
      </c>
      <c r="D92" s="9" t="s">
        <v>81</v>
      </c>
      <c r="E92" s="83" t="s">
        <v>108</v>
      </c>
      <c r="F92" s="10" t="s">
        <v>247</v>
      </c>
      <c r="G92" s="84" t="s">
        <v>115</v>
      </c>
      <c r="H92" s="126">
        <f t="shared" si="4"/>
        <v>20000</v>
      </c>
      <c r="I92" s="78">
        <f>10000+10000+15000-15000</f>
        <v>20000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>
      <c r="A93" s="22" t="s">
        <v>241</v>
      </c>
      <c r="B93" s="9"/>
      <c r="C93" s="9" t="s">
        <v>20</v>
      </c>
      <c r="D93" s="9" t="s">
        <v>81</v>
      </c>
      <c r="E93" s="9" t="s">
        <v>108</v>
      </c>
      <c r="F93" s="9" t="s">
        <v>242</v>
      </c>
      <c r="G93" s="9" t="s">
        <v>115</v>
      </c>
      <c r="H93" s="126">
        <f t="shared" si="4"/>
        <v>48100</v>
      </c>
      <c r="I93" s="78">
        <f>33100+15000</f>
        <v>48100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25.5" hidden="1">
      <c r="A94" s="85" t="s">
        <v>243</v>
      </c>
      <c r="B94" s="57"/>
      <c r="C94" s="9" t="s">
        <v>20</v>
      </c>
      <c r="D94" s="9" t="s">
        <v>81</v>
      </c>
      <c r="E94" s="9" t="s">
        <v>108</v>
      </c>
      <c r="F94" s="9" t="s">
        <v>244</v>
      </c>
      <c r="G94" s="9" t="s">
        <v>115</v>
      </c>
      <c r="H94" s="126">
        <f t="shared" si="4"/>
        <v>0</v>
      </c>
      <c r="I94" s="78">
        <f>10000-10000</f>
        <v>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/>
      <c r="B96" s="9"/>
      <c r="C96" s="9"/>
      <c r="D96" s="9"/>
      <c r="E96" s="9"/>
      <c r="F96" s="9"/>
      <c r="G96" s="9"/>
      <c r="H96" s="126"/>
      <c r="I96" s="78"/>
      <c r="J96" s="78"/>
      <c r="K96" s="107"/>
      <c r="L96" s="107"/>
      <c r="M96" s="107"/>
      <c r="N96" s="107"/>
      <c r="O96" s="6"/>
    </row>
    <row r="97" spans="1:15" s="25" customFormat="1" ht="12.75" hidden="1">
      <c r="A97" s="22" t="s">
        <v>188</v>
      </c>
      <c r="B97" s="9"/>
      <c r="C97" s="9" t="s">
        <v>20</v>
      </c>
      <c r="D97" s="9" t="s">
        <v>81</v>
      </c>
      <c r="E97" s="9" t="s">
        <v>108</v>
      </c>
      <c r="F97" s="9" t="s">
        <v>119</v>
      </c>
      <c r="G97" s="9" t="s">
        <v>115</v>
      </c>
      <c r="H97" s="126">
        <f t="shared" si="4"/>
        <v>0</v>
      </c>
      <c r="I97" s="78"/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3.5">
      <c r="A98" s="681" t="s">
        <v>125</v>
      </c>
      <c r="B98" s="683"/>
      <c r="C98" s="27" t="s">
        <v>21</v>
      </c>
      <c r="D98" s="3"/>
      <c r="E98" s="27"/>
      <c r="F98" s="3"/>
      <c r="G98" s="3"/>
      <c r="H98" s="124">
        <f>K98</f>
        <v>653340</v>
      </c>
      <c r="I98" s="98"/>
      <c r="J98" s="97"/>
      <c r="K98" s="97">
        <f>K101</f>
        <v>653340</v>
      </c>
      <c r="L98" s="110"/>
      <c r="M98" s="110"/>
      <c r="N98" s="111" t="s">
        <v>107</v>
      </c>
      <c r="O98" s="28"/>
    </row>
    <row r="99" spans="1:15" s="25" customFormat="1" ht="12.75" hidden="1">
      <c r="A99" s="22" t="s">
        <v>4</v>
      </c>
      <c r="B99" s="9"/>
      <c r="C99" s="9"/>
      <c r="D99" s="9"/>
      <c r="E99" s="9"/>
      <c r="F99" s="9" t="s">
        <v>99</v>
      </c>
      <c r="G99" s="9" t="s">
        <v>109</v>
      </c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2.75" hidden="1">
      <c r="A100" s="22" t="s">
        <v>5</v>
      </c>
      <c r="B100" s="9"/>
      <c r="C100" s="9"/>
      <c r="D100" s="9"/>
      <c r="E100" s="9"/>
      <c r="F100" s="9"/>
      <c r="G100" s="9"/>
      <c r="H100" s="126">
        <f>I100</f>
        <v>0</v>
      </c>
      <c r="I100" s="78"/>
      <c r="J100" s="78"/>
      <c r="K100" s="116" t="s">
        <v>76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3.5">
      <c r="A101" s="22" t="s">
        <v>12</v>
      </c>
      <c r="B101" s="9"/>
      <c r="C101" s="41" t="s">
        <v>21</v>
      </c>
      <c r="D101" s="9" t="s">
        <v>89</v>
      </c>
      <c r="E101" s="9" t="s">
        <v>126</v>
      </c>
      <c r="F101" s="9" t="s">
        <v>116</v>
      </c>
      <c r="G101" s="9" t="s">
        <v>115</v>
      </c>
      <c r="H101" s="126">
        <f aca="true" t="shared" si="5" ref="H101:H116">K101</f>
        <v>653340</v>
      </c>
      <c r="I101" s="107" t="s">
        <v>76</v>
      </c>
      <c r="J101" s="78"/>
      <c r="K101" s="391">
        <f>676900-23560</f>
        <v>653340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8.75" customHeight="1" hidden="1">
      <c r="A102" s="687" t="s">
        <v>127</v>
      </c>
      <c r="B102" s="688"/>
      <c r="C102" s="27" t="s">
        <v>22</v>
      </c>
      <c r="D102" s="3"/>
      <c r="E102" s="3"/>
      <c r="F102" s="3"/>
      <c r="G102" s="3"/>
      <c r="H102" s="131">
        <f t="shared" si="5"/>
        <v>0</v>
      </c>
      <c r="I102" s="117"/>
      <c r="J102" s="110"/>
      <c r="K102" s="118">
        <f>K103</f>
        <v>0</v>
      </c>
      <c r="L102" s="117"/>
      <c r="M102" s="117"/>
      <c r="N102" s="117"/>
      <c r="O102" s="6"/>
    </row>
    <row r="103" spans="1:15" s="25" customFormat="1" ht="13.5" customHeight="1" hidden="1">
      <c r="A103" s="22" t="s">
        <v>12</v>
      </c>
      <c r="B103" s="40"/>
      <c r="C103" s="41" t="s">
        <v>22</v>
      </c>
      <c r="D103" s="9" t="s">
        <v>81</v>
      </c>
      <c r="E103" s="9" t="s">
        <v>108</v>
      </c>
      <c r="F103" s="9" t="s">
        <v>116</v>
      </c>
      <c r="G103" s="9" t="s">
        <v>115</v>
      </c>
      <c r="H103" s="126">
        <f t="shared" si="5"/>
        <v>0</v>
      </c>
      <c r="I103" s="107" t="s">
        <v>76</v>
      </c>
      <c r="J103" s="78"/>
      <c r="K103" s="116"/>
      <c r="L103" s="107"/>
      <c r="M103" s="107"/>
      <c r="N103" s="107" t="s">
        <v>76</v>
      </c>
      <c r="O103" s="6"/>
    </row>
    <row r="104" spans="1:15" s="25" customFormat="1" ht="28.5" customHeight="1">
      <c r="A104" s="39" t="s">
        <v>190</v>
      </c>
      <c r="B104" s="55"/>
      <c r="C104" s="27" t="s">
        <v>41</v>
      </c>
      <c r="D104" s="3"/>
      <c r="E104" s="3"/>
      <c r="F104" s="3"/>
      <c r="G104" s="3"/>
      <c r="H104" s="124">
        <f t="shared" si="5"/>
        <v>24000</v>
      </c>
      <c r="I104" s="119"/>
      <c r="J104" s="97"/>
      <c r="K104" s="120">
        <f>K105</f>
        <v>24000</v>
      </c>
      <c r="L104" s="117"/>
      <c r="M104" s="117"/>
      <c r="N104" s="117"/>
      <c r="O104" s="6"/>
    </row>
    <row r="105" spans="1:15" s="25" customFormat="1" ht="12.75">
      <c r="A105" s="22" t="s">
        <v>12</v>
      </c>
      <c r="B105" s="40"/>
      <c r="C105" s="9" t="s">
        <v>41</v>
      </c>
      <c r="D105" s="9" t="s">
        <v>81</v>
      </c>
      <c r="E105" s="9" t="s">
        <v>154</v>
      </c>
      <c r="F105" s="9" t="s">
        <v>116</v>
      </c>
      <c r="G105" s="9" t="s">
        <v>115</v>
      </c>
      <c r="H105" s="126">
        <f t="shared" si="5"/>
        <v>24000</v>
      </c>
      <c r="I105" s="107" t="s">
        <v>76</v>
      </c>
      <c r="J105" s="78"/>
      <c r="K105" s="116">
        <v>24000</v>
      </c>
      <c r="L105" s="107"/>
      <c r="M105" s="107"/>
      <c r="N105" s="107" t="s">
        <v>76</v>
      </c>
      <c r="O105" s="6"/>
    </row>
    <row r="106" spans="1:15" s="25" customFormat="1" ht="36" customHeight="1">
      <c r="A106" s="681" t="s">
        <v>374</v>
      </c>
      <c r="B106" s="683"/>
      <c r="C106" s="27" t="s">
        <v>373</v>
      </c>
      <c r="D106" s="3"/>
      <c r="E106" s="3"/>
      <c r="F106" s="3"/>
      <c r="G106" s="3"/>
      <c r="H106" s="435">
        <f>K106</f>
        <v>60000</v>
      </c>
      <c r="I106" s="436" t="s">
        <v>76</v>
      </c>
      <c r="J106" s="437"/>
      <c r="K106" s="435">
        <f>SUM(K107:K110)</f>
        <v>60000</v>
      </c>
      <c r="L106" s="435">
        <f>SUM(L107:L110)</f>
        <v>0</v>
      </c>
      <c r="M106" s="435">
        <f>SUM(M107:M110)</f>
        <v>0</v>
      </c>
      <c r="N106" s="435"/>
      <c r="O106" s="6"/>
    </row>
    <row r="107" spans="1:15" s="25" customFormat="1" ht="12.75">
      <c r="A107" s="8" t="s">
        <v>335</v>
      </c>
      <c r="B107" s="40"/>
      <c r="C107" s="60" t="s">
        <v>373</v>
      </c>
      <c r="D107" s="434" t="s">
        <v>332</v>
      </c>
      <c r="E107" s="9" t="s">
        <v>108</v>
      </c>
      <c r="F107" s="9" t="s">
        <v>116</v>
      </c>
      <c r="G107" s="9" t="s">
        <v>115</v>
      </c>
      <c r="H107" s="433">
        <f>K107</f>
        <v>43200</v>
      </c>
      <c r="I107" s="107"/>
      <c r="J107" s="78"/>
      <c r="K107" s="116">
        <v>43200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214</v>
      </c>
      <c r="E108" s="9" t="s">
        <v>108</v>
      </c>
      <c r="F108" s="9" t="s">
        <v>116</v>
      </c>
      <c r="G108" s="9" t="s">
        <v>115</v>
      </c>
      <c r="H108" s="433">
        <f>K108</f>
        <v>4800</v>
      </c>
      <c r="I108" s="107"/>
      <c r="J108" s="78"/>
      <c r="K108" s="116">
        <v>4800</v>
      </c>
      <c r="L108" s="107"/>
      <c r="M108" s="107"/>
      <c r="N108" s="107"/>
      <c r="O108" s="6"/>
    </row>
    <row r="109" spans="1:15" s="25" customFormat="1" ht="12.75">
      <c r="A109" s="8" t="s">
        <v>336</v>
      </c>
      <c r="B109" s="40"/>
      <c r="C109" s="60" t="s">
        <v>373</v>
      </c>
      <c r="D109" s="434" t="s">
        <v>333</v>
      </c>
      <c r="E109" s="9" t="s">
        <v>108</v>
      </c>
      <c r="F109" s="9" t="s">
        <v>116</v>
      </c>
      <c r="G109" s="9" t="s">
        <v>115</v>
      </c>
      <c r="H109" s="433">
        <f>K109</f>
        <v>10800</v>
      </c>
      <c r="I109" s="107"/>
      <c r="J109" s="78"/>
      <c r="K109" s="116">
        <v>10800</v>
      </c>
      <c r="L109" s="107"/>
      <c r="M109" s="107"/>
      <c r="N109" s="107"/>
      <c r="O109" s="6"/>
    </row>
    <row r="110" spans="1:15" s="25" customFormat="1" ht="12.75">
      <c r="A110" s="8" t="s">
        <v>337</v>
      </c>
      <c r="B110" s="40"/>
      <c r="C110" s="60" t="s">
        <v>373</v>
      </c>
      <c r="D110" s="434" t="s">
        <v>216</v>
      </c>
      <c r="E110" s="9" t="s">
        <v>108</v>
      </c>
      <c r="F110" s="9" t="s">
        <v>116</v>
      </c>
      <c r="G110" s="9" t="s">
        <v>115</v>
      </c>
      <c r="H110" s="433">
        <f>K110</f>
        <v>1200</v>
      </c>
      <c r="I110" s="107"/>
      <c r="J110" s="78"/>
      <c r="K110" s="116">
        <v>1200</v>
      </c>
      <c r="L110" s="107"/>
      <c r="M110" s="107"/>
      <c r="N110" s="107"/>
      <c r="O110" s="6"/>
    </row>
    <row r="111" spans="1:15" s="25" customFormat="1" ht="41.25" customHeight="1">
      <c r="A111" s="681" t="s">
        <v>334</v>
      </c>
      <c r="B111" s="683"/>
      <c r="C111" s="27" t="s">
        <v>211</v>
      </c>
      <c r="D111" s="3"/>
      <c r="E111" s="3"/>
      <c r="F111" s="3"/>
      <c r="G111" s="3"/>
      <c r="H111" s="124">
        <f t="shared" si="5"/>
        <v>80000</v>
      </c>
      <c r="I111" s="117" t="s">
        <v>76</v>
      </c>
      <c r="J111" s="110"/>
      <c r="K111" s="97">
        <f>SUM(K112:K116)</f>
        <v>80000</v>
      </c>
      <c r="L111" s="117"/>
      <c r="M111" s="117"/>
      <c r="N111" s="117" t="s">
        <v>76</v>
      </c>
      <c r="O111" s="6"/>
    </row>
    <row r="112" spans="1:15" s="25" customFormat="1" ht="12.75">
      <c r="A112" s="22" t="s">
        <v>12</v>
      </c>
      <c r="B112" s="57"/>
      <c r="C112" s="9" t="s">
        <v>204</v>
      </c>
      <c r="D112" s="9" t="s">
        <v>81</v>
      </c>
      <c r="E112" s="9" t="s">
        <v>108</v>
      </c>
      <c r="F112" s="9" t="s">
        <v>116</v>
      </c>
      <c r="G112" s="9" t="s">
        <v>115</v>
      </c>
      <c r="H112" s="126">
        <f t="shared" si="5"/>
        <v>80000</v>
      </c>
      <c r="I112" s="107" t="s">
        <v>76</v>
      </c>
      <c r="J112" s="107"/>
      <c r="K112" s="116">
        <v>80000</v>
      </c>
      <c r="L112" s="107"/>
      <c r="M112" s="107"/>
      <c r="N112" s="107" t="s">
        <v>76</v>
      </c>
      <c r="O112" s="6"/>
    </row>
    <row r="113" spans="1:15" s="25" customFormat="1" ht="12.75">
      <c r="A113" s="8" t="s">
        <v>335</v>
      </c>
      <c r="B113" s="9"/>
      <c r="C113" s="9" t="s">
        <v>211</v>
      </c>
      <c r="D113" s="393" t="s">
        <v>332</v>
      </c>
      <c r="E113" s="9" t="s">
        <v>108</v>
      </c>
      <c r="F113" s="9" t="s">
        <v>116</v>
      </c>
      <c r="G113" s="9" t="s">
        <v>115</v>
      </c>
      <c r="H113" s="126">
        <f t="shared" si="5"/>
        <v>0</v>
      </c>
      <c r="I113" s="107" t="s">
        <v>76</v>
      </c>
      <c r="J113" s="78"/>
      <c r="K113" s="109"/>
      <c r="L113" s="107"/>
      <c r="M113" s="107"/>
      <c r="N113" s="107" t="s">
        <v>76</v>
      </c>
      <c r="O113" s="64" t="s">
        <v>76</v>
      </c>
    </row>
    <row r="114" spans="1:15" s="25" customFormat="1" ht="12.75">
      <c r="A114" s="8" t="s">
        <v>336</v>
      </c>
      <c r="B114" s="9"/>
      <c r="C114" s="9" t="s">
        <v>211</v>
      </c>
      <c r="D114" s="393" t="s">
        <v>214</v>
      </c>
      <c r="E114" s="9" t="s">
        <v>108</v>
      </c>
      <c r="F114" s="9" t="s">
        <v>116</v>
      </c>
      <c r="G114" s="9" t="s">
        <v>115</v>
      </c>
      <c r="H114" s="126">
        <f t="shared" si="5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336</v>
      </c>
      <c r="B115" s="9"/>
      <c r="C115" s="9" t="s">
        <v>211</v>
      </c>
      <c r="D115" s="393" t="s">
        <v>333</v>
      </c>
      <c r="E115" s="9" t="s">
        <v>108</v>
      </c>
      <c r="F115" s="9" t="s">
        <v>116</v>
      </c>
      <c r="G115" s="9" t="s">
        <v>115</v>
      </c>
      <c r="H115" s="126">
        <f t="shared" si="5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12.75">
      <c r="A116" s="8" t="s">
        <v>337</v>
      </c>
      <c r="B116" s="9"/>
      <c r="C116" s="9" t="s">
        <v>211</v>
      </c>
      <c r="D116" s="393" t="s">
        <v>216</v>
      </c>
      <c r="E116" s="9" t="s">
        <v>108</v>
      </c>
      <c r="F116" s="9" t="s">
        <v>116</v>
      </c>
      <c r="G116" s="9" t="s">
        <v>115</v>
      </c>
      <c r="H116" s="126">
        <f t="shared" si="5"/>
        <v>0</v>
      </c>
      <c r="I116" s="107" t="s">
        <v>76</v>
      </c>
      <c r="J116" s="78"/>
      <c r="K116" s="78"/>
      <c r="L116" s="107"/>
      <c r="M116" s="107"/>
      <c r="N116" s="107" t="s">
        <v>76</v>
      </c>
      <c r="O116" s="6"/>
    </row>
    <row r="117" spans="1:15" s="25" customFormat="1" ht="41.25" customHeight="1">
      <c r="A117" s="681" t="s">
        <v>360</v>
      </c>
      <c r="B117" s="683"/>
      <c r="C117" s="27" t="s">
        <v>51</v>
      </c>
      <c r="D117" s="43"/>
      <c r="E117" s="42"/>
      <c r="F117" s="42"/>
      <c r="G117" s="42"/>
      <c r="H117" s="124"/>
      <c r="I117" s="119"/>
      <c r="J117" s="97"/>
      <c r="K117" s="120">
        <f>SUM(K119:K127)</f>
        <v>411025.7</v>
      </c>
      <c r="L117" s="119"/>
      <c r="M117" s="119"/>
      <c r="N117" s="119"/>
      <c r="O117" s="6"/>
    </row>
    <row r="118" spans="1:15" s="25" customFormat="1" ht="12.75" hidden="1">
      <c r="A118" s="61" t="s">
        <v>11</v>
      </c>
      <c r="B118" s="59"/>
      <c r="C118" s="59" t="s">
        <v>51</v>
      </c>
      <c r="D118" s="59" t="s">
        <v>81</v>
      </c>
      <c r="E118" s="59" t="s">
        <v>218</v>
      </c>
      <c r="F118" s="59" t="s">
        <v>121</v>
      </c>
      <c r="G118" s="59" t="s">
        <v>115</v>
      </c>
      <c r="H118" s="127">
        <f aca="true" t="shared" si="6" ref="H118:H127">K118</f>
        <v>0</v>
      </c>
      <c r="I118" s="101" t="s">
        <v>76</v>
      </c>
      <c r="J118" s="102"/>
      <c r="K118" s="104"/>
      <c r="L118" s="102"/>
      <c r="M118" s="100"/>
      <c r="N118" s="101" t="s">
        <v>76</v>
      </c>
      <c r="O118" s="6"/>
    </row>
    <row r="119" spans="1:15" s="25" customFormat="1" ht="12.75">
      <c r="A119" s="684" t="s">
        <v>12</v>
      </c>
      <c r="B119" s="9"/>
      <c r="C119" s="678" t="s">
        <v>51</v>
      </c>
      <c r="D119" s="9" t="s">
        <v>81</v>
      </c>
      <c r="E119" s="678" t="s">
        <v>218</v>
      </c>
      <c r="F119" s="678" t="s">
        <v>116</v>
      </c>
      <c r="G119" s="678" t="s">
        <v>115</v>
      </c>
      <c r="H119" s="126">
        <f t="shared" si="6"/>
        <v>201123.7</v>
      </c>
      <c r="I119" s="107" t="s">
        <v>76</v>
      </c>
      <c r="J119" s="107"/>
      <c r="K119" s="116">
        <f>195152.7+2985.5+2985.5</f>
        <v>201123.7</v>
      </c>
      <c r="L119" s="107"/>
      <c r="M119" s="107"/>
      <c r="N119" s="107" t="s">
        <v>76</v>
      </c>
      <c r="O119" s="6"/>
    </row>
    <row r="120" spans="1:15" s="25" customFormat="1" ht="12.75">
      <c r="A120" s="685"/>
      <c r="B120" s="9"/>
      <c r="C120" s="679"/>
      <c r="D120" s="9" t="s">
        <v>219</v>
      </c>
      <c r="E120" s="679"/>
      <c r="F120" s="679"/>
      <c r="G120" s="679"/>
      <c r="H120" s="126">
        <f t="shared" si="6"/>
        <v>188911.8</v>
      </c>
      <c r="I120" s="107" t="s">
        <v>76</v>
      </c>
      <c r="J120" s="107"/>
      <c r="K120" s="116">
        <f>148024.8+20443.5+20443.5</f>
        <v>188911.8</v>
      </c>
      <c r="L120" s="107"/>
      <c r="M120" s="107"/>
      <c r="N120" s="107" t="s">
        <v>76</v>
      </c>
      <c r="O120" s="6"/>
    </row>
    <row r="121" spans="1:15" s="25" customFormat="1" ht="12.75">
      <c r="A121" s="686"/>
      <c r="B121" s="9"/>
      <c r="C121" s="680"/>
      <c r="D121" s="9" t="s">
        <v>196</v>
      </c>
      <c r="E121" s="680"/>
      <c r="F121" s="680"/>
      <c r="G121" s="680"/>
      <c r="H121" s="126">
        <f t="shared" si="6"/>
        <v>12136.6</v>
      </c>
      <c r="I121" s="107"/>
      <c r="J121" s="107"/>
      <c r="K121" s="116">
        <f>7593.6+2271.5+2271.5</f>
        <v>12136.6</v>
      </c>
      <c r="L121" s="107"/>
      <c r="M121" s="107"/>
      <c r="N121" s="107" t="s">
        <v>76</v>
      </c>
      <c r="O121" s="6"/>
    </row>
    <row r="122" spans="1:15" s="25" customFormat="1" ht="12.75">
      <c r="A122" s="431" t="s">
        <v>362</v>
      </c>
      <c r="B122" s="9"/>
      <c r="C122" s="9" t="s">
        <v>51</v>
      </c>
      <c r="D122" s="9" t="s">
        <v>196</v>
      </c>
      <c r="E122" s="9" t="s">
        <v>218</v>
      </c>
      <c r="F122" s="9" t="s">
        <v>361</v>
      </c>
      <c r="G122" s="9" t="s">
        <v>115</v>
      </c>
      <c r="H122" s="126">
        <f t="shared" si="6"/>
        <v>2272.2</v>
      </c>
      <c r="I122" s="107"/>
      <c r="J122" s="107"/>
      <c r="K122" s="116">
        <v>2272.2</v>
      </c>
      <c r="L122" s="107"/>
      <c r="M122" s="107"/>
      <c r="N122" s="107" t="s">
        <v>76</v>
      </c>
      <c r="O122" s="6"/>
    </row>
    <row r="123" spans="1:15" s="25" customFormat="1" ht="39.75" customHeight="1">
      <c r="A123" s="431" t="s">
        <v>363</v>
      </c>
      <c r="B123" s="9"/>
      <c r="C123" s="9" t="s">
        <v>51</v>
      </c>
      <c r="D123" s="9" t="s">
        <v>196</v>
      </c>
      <c r="E123" s="9" t="s">
        <v>218</v>
      </c>
      <c r="F123" s="9" t="s">
        <v>240</v>
      </c>
      <c r="G123" s="9" t="s">
        <v>115</v>
      </c>
      <c r="H123" s="126">
        <f t="shared" si="6"/>
        <v>2625</v>
      </c>
      <c r="I123" s="107"/>
      <c r="J123" s="107"/>
      <c r="K123" s="116">
        <v>2625</v>
      </c>
      <c r="L123" s="107"/>
      <c r="M123" s="107"/>
      <c r="N123" s="107" t="s">
        <v>76</v>
      </c>
      <c r="O123" s="6"/>
    </row>
    <row r="124" spans="1:15" s="25" customFormat="1" ht="28.5" customHeight="1">
      <c r="A124" s="431" t="s">
        <v>364</v>
      </c>
      <c r="B124" s="9"/>
      <c r="C124" s="9" t="s">
        <v>51</v>
      </c>
      <c r="D124" s="9" t="s">
        <v>196</v>
      </c>
      <c r="E124" s="9" t="s">
        <v>218</v>
      </c>
      <c r="F124" s="9" t="s">
        <v>242</v>
      </c>
      <c r="G124" s="9" t="s">
        <v>115</v>
      </c>
      <c r="H124" s="126">
        <f t="shared" si="6"/>
        <v>3956.4</v>
      </c>
      <c r="I124" s="107"/>
      <c r="J124" s="107"/>
      <c r="K124" s="116">
        <v>3956.4</v>
      </c>
      <c r="L124" s="107"/>
      <c r="M124" s="107"/>
      <c r="N124" s="107" t="s">
        <v>76</v>
      </c>
      <c r="O124" s="6"/>
    </row>
    <row r="125" spans="1:15" s="25" customFormat="1" ht="12.75" hidden="1">
      <c r="A125" s="22" t="s">
        <v>359</v>
      </c>
      <c r="B125" s="9"/>
      <c r="C125" s="9" t="s">
        <v>51</v>
      </c>
      <c r="D125" s="9" t="s">
        <v>81</v>
      </c>
      <c r="E125" s="9" t="s">
        <v>218</v>
      </c>
      <c r="F125" s="9" t="s">
        <v>118</v>
      </c>
      <c r="G125" s="9" t="s">
        <v>115</v>
      </c>
      <c r="H125" s="126">
        <f>K125</f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4" t="s">
        <v>221</v>
      </c>
      <c r="B126" s="9"/>
      <c r="C126" s="678" t="s">
        <v>51</v>
      </c>
      <c r="D126" s="9" t="s">
        <v>81</v>
      </c>
      <c r="E126" s="678" t="s">
        <v>218</v>
      </c>
      <c r="F126" s="678" t="s">
        <v>119</v>
      </c>
      <c r="G126" s="678" t="s">
        <v>115</v>
      </c>
      <c r="H126" s="126">
        <f t="shared" si="6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2.75" hidden="1">
      <c r="A127" s="686"/>
      <c r="B127" s="9"/>
      <c r="C127" s="680"/>
      <c r="D127" s="9" t="s">
        <v>196</v>
      </c>
      <c r="E127" s="680"/>
      <c r="F127" s="680"/>
      <c r="G127" s="680"/>
      <c r="H127" s="126">
        <f t="shared" si="6"/>
        <v>0</v>
      </c>
      <c r="I127" s="107" t="s">
        <v>76</v>
      </c>
      <c r="J127" s="107"/>
      <c r="K127" s="116"/>
      <c r="L127" s="101"/>
      <c r="M127" s="101"/>
      <c r="N127" s="101" t="s">
        <v>76</v>
      </c>
      <c r="O127" s="6"/>
    </row>
    <row r="128" spans="1:15" s="25" customFormat="1" ht="15" customHeight="1">
      <c r="A128" s="681" t="s">
        <v>210</v>
      </c>
      <c r="B128" s="683"/>
      <c r="C128" s="27" t="s">
        <v>163</v>
      </c>
      <c r="D128" s="44"/>
      <c r="E128" s="3"/>
      <c r="F128" s="3"/>
      <c r="G128" s="3"/>
      <c r="H128" s="131"/>
      <c r="I128" s="117"/>
      <c r="J128" s="110"/>
      <c r="K128" s="120">
        <f>K129+K130</f>
        <v>950000</v>
      </c>
      <c r="L128" s="117"/>
      <c r="M128" s="117"/>
      <c r="N128" s="117"/>
      <c r="O128" s="6"/>
    </row>
    <row r="129" spans="1:15" s="25" customFormat="1" ht="15.75" customHeight="1">
      <c r="A129" s="22" t="s">
        <v>11</v>
      </c>
      <c r="B129" s="40"/>
      <c r="C129" s="41" t="s">
        <v>163</v>
      </c>
      <c r="D129" s="6" t="s">
        <v>162</v>
      </c>
      <c r="E129" s="9" t="s">
        <v>157</v>
      </c>
      <c r="F129" s="46">
        <v>225</v>
      </c>
      <c r="G129" s="9" t="s">
        <v>115</v>
      </c>
      <c r="H129" s="129" t="s">
        <v>76</v>
      </c>
      <c r="I129" s="107" t="s">
        <v>76</v>
      </c>
      <c r="J129" s="78"/>
      <c r="K129" s="116">
        <v>950000</v>
      </c>
      <c r="L129" s="107"/>
      <c r="M129" s="107"/>
      <c r="N129" s="107" t="s">
        <v>76</v>
      </c>
      <c r="O129" s="6"/>
    </row>
    <row r="130" spans="1:15" s="25" customFormat="1" ht="13.5" hidden="1">
      <c r="A130" s="47" t="s">
        <v>14</v>
      </c>
      <c r="B130" s="40"/>
      <c r="C130" s="41" t="s">
        <v>163</v>
      </c>
      <c r="D130" s="6" t="s">
        <v>162</v>
      </c>
      <c r="E130" s="9" t="s">
        <v>157</v>
      </c>
      <c r="F130" s="9" t="s">
        <v>118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15" customHeight="1" hidden="1">
      <c r="A131" s="681" t="s">
        <v>177</v>
      </c>
      <c r="B131" s="683"/>
      <c r="C131" s="27" t="s">
        <v>23</v>
      </c>
      <c r="D131" s="44"/>
      <c r="E131" s="3"/>
      <c r="F131" s="3"/>
      <c r="G131" s="3"/>
      <c r="H131" s="131"/>
      <c r="I131" s="117"/>
      <c r="J131" s="110"/>
      <c r="K131" s="118">
        <f>K132</f>
        <v>0</v>
      </c>
      <c r="L131" s="117"/>
      <c r="M131" s="117"/>
      <c r="N131" s="117"/>
      <c r="O131" s="6"/>
    </row>
    <row r="132" spans="1:15" s="25" customFormat="1" ht="15" customHeight="1" hidden="1">
      <c r="A132" s="22" t="s">
        <v>178</v>
      </c>
      <c r="B132" s="9"/>
      <c r="C132" s="9" t="s">
        <v>23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/>
      <c r="I132" s="107"/>
      <c r="J132" s="78"/>
      <c r="K132" s="116"/>
      <c r="L132" s="107"/>
      <c r="M132" s="107"/>
      <c r="N132" s="107"/>
      <c r="O132" s="6"/>
    </row>
    <row r="133" spans="1:15" s="25" customFormat="1" ht="29.25" customHeight="1" hidden="1">
      <c r="A133" s="681" t="s">
        <v>191</v>
      </c>
      <c r="B133" s="683"/>
      <c r="C133" s="27" t="s">
        <v>192</v>
      </c>
      <c r="D133" s="3"/>
      <c r="E133" s="3"/>
      <c r="F133" s="3"/>
      <c r="G133" s="3"/>
      <c r="H133" s="124">
        <f aca="true" t="shared" si="7" ref="H133:H139">K133</f>
        <v>0</v>
      </c>
      <c r="I133" s="119"/>
      <c r="J133" s="97"/>
      <c r="K133" s="97">
        <f>K134+K135</f>
        <v>0</v>
      </c>
      <c r="L133" s="117"/>
      <c r="M133" s="117"/>
      <c r="N133" s="117"/>
      <c r="O133" s="6"/>
    </row>
    <row r="134" spans="1:15" s="25" customFormat="1" ht="16.5" customHeight="1" hidden="1">
      <c r="A134" s="61" t="s">
        <v>195</v>
      </c>
      <c r="B134" s="67"/>
      <c r="C134" s="59" t="s">
        <v>192</v>
      </c>
      <c r="D134" s="59" t="s">
        <v>193</v>
      </c>
      <c r="E134" s="59" t="s">
        <v>108</v>
      </c>
      <c r="F134" s="59" t="s">
        <v>121</v>
      </c>
      <c r="G134" s="59" t="s">
        <v>194</v>
      </c>
      <c r="H134" s="127">
        <f t="shared" si="7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 hidden="1">
      <c r="A135" s="61" t="s">
        <v>195</v>
      </c>
      <c r="B135" s="68"/>
      <c r="C135" s="59" t="s">
        <v>192</v>
      </c>
      <c r="D135" s="59" t="s">
        <v>196</v>
      </c>
      <c r="E135" s="59" t="s">
        <v>108</v>
      </c>
      <c r="F135" s="59" t="s">
        <v>121</v>
      </c>
      <c r="G135" s="59" t="s">
        <v>194</v>
      </c>
      <c r="H135" s="127">
        <f t="shared" si="7"/>
        <v>0</v>
      </c>
      <c r="I135" s="101" t="s">
        <v>76</v>
      </c>
      <c r="J135" s="100"/>
      <c r="K135" s="104"/>
      <c r="L135" s="101"/>
      <c r="M135" s="101"/>
      <c r="N135" s="101" t="s">
        <v>76</v>
      </c>
      <c r="O135" s="6"/>
    </row>
    <row r="136" spans="1:15" s="25" customFormat="1" ht="16.5" customHeight="1">
      <c r="A136" s="39" t="s">
        <v>222</v>
      </c>
      <c r="B136" s="38"/>
      <c r="C136" s="27" t="s">
        <v>203</v>
      </c>
      <c r="D136" s="3"/>
      <c r="E136" s="3"/>
      <c r="F136" s="3"/>
      <c r="G136" s="3"/>
      <c r="H136" s="124">
        <f t="shared" si="7"/>
        <v>10000</v>
      </c>
      <c r="I136" s="117" t="s">
        <v>76</v>
      </c>
      <c r="J136" s="110"/>
      <c r="K136" s="120">
        <f>K137</f>
        <v>10000</v>
      </c>
      <c r="L136" s="117"/>
      <c r="M136" s="117"/>
      <c r="N136" s="117" t="s">
        <v>76</v>
      </c>
      <c r="O136" s="6"/>
    </row>
    <row r="137" spans="1:15" s="25" customFormat="1" ht="24" customHeight="1">
      <c r="A137" s="22" t="s">
        <v>236</v>
      </c>
      <c r="B137" s="40"/>
      <c r="C137" s="9" t="s">
        <v>203</v>
      </c>
      <c r="D137" s="9" t="s">
        <v>81</v>
      </c>
      <c r="E137" s="9" t="s">
        <v>108</v>
      </c>
      <c r="F137" s="9" t="s">
        <v>205</v>
      </c>
      <c r="G137" s="9" t="s">
        <v>123</v>
      </c>
      <c r="H137" s="126">
        <f t="shared" si="7"/>
        <v>10000</v>
      </c>
      <c r="I137" s="107" t="s">
        <v>76</v>
      </c>
      <c r="J137" s="78"/>
      <c r="K137" s="121">
        <v>10000</v>
      </c>
      <c r="L137" s="107"/>
      <c r="M137" s="107"/>
      <c r="N137" s="107" t="s">
        <v>76</v>
      </c>
      <c r="O137" s="6"/>
    </row>
    <row r="138" spans="1:15" s="25" customFormat="1" ht="12.75" hidden="1">
      <c r="A138" s="75" t="s">
        <v>226</v>
      </c>
      <c r="B138" s="58"/>
      <c r="C138" s="42" t="s">
        <v>23</v>
      </c>
      <c r="D138" s="42"/>
      <c r="E138" s="42"/>
      <c r="F138" s="42"/>
      <c r="G138" s="42"/>
      <c r="H138" s="125">
        <f t="shared" si="7"/>
        <v>0</v>
      </c>
      <c r="I138" s="119"/>
      <c r="J138" s="98"/>
      <c r="K138" s="97">
        <f>K139</f>
        <v>0</v>
      </c>
      <c r="L138" s="119"/>
      <c r="M138" s="119"/>
      <c r="N138" s="119"/>
      <c r="O138" s="6"/>
    </row>
    <row r="139" spans="1:15" s="25" customFormat="1" ht="12.75" hidden="1">
      <c r="A139" s="76" t="s">
        <v>227</v>
      </c>
      <c r="B139" s="57"/>
      <c r="C139" s="9" t="s">
        <v>23</v>
      </c>
      <c r="D139" s="9" t="s">
        <v>228</v>
      </c>
      <c r="E139" s="9" t="s">
        <v>157</v>
      </c>
      <c r="F139" s="9" t="s">
        <v>116</v>
      </c>
      <c r="G139" s="9" t="s">
        <v>115</v>
      </c>
      <c r="H139" s="129">
        <f t="shared" si="7"/>
        <v>0</v>
      </c>
      <c r="I139" s="107"/>
      <c r="J139" s="26"/>
      <c r="K139" s="78"/>
      <c r="L139" s="107"/>
      <c r="M139" s="107"/>
      <c r="N139" s="107"/>
      <c r="O139" s="6"/>
    </row>
    <row r="140" spans="1:15" s="25" customFormat="1" ht="12.75" hidden="1">
      <c r="A140" s="77" t="s">
        <v>231</v>
      </c>
      <c r="B140" s="58"/>
      <c r="C140" s="87" t="s">
        <v>230</v>
      </c>
      <c r="D140" s="53"/>
      <c r="E140" s="53"/>
      <c r="F140" s="53"/>
      <c r="G140" s="53"/>
      <c r="H140" s="124">
        <f>K140</f>
        <v>0</v>
      </c>
      <c r="I140" s="119"/>
      <c r="J140" s="97"/>
      <c r="K140" s="98">
        <f>K141</f>
        <v>0</v>
      </c>
      <c r="L140" s="119"/>
      <c r="M140" s="119"/>
      <c r="N140" s="119"/>
      <c r="O140" s="6"/>
    </row>
    <row r="141" spans="1:15" s="25" customFormat="1" ht="12.75" hidden="1">
      <c r="A141" s="22" t="s">
        <v>227</v>
      </c>
      <c r="B141" s="57"/>
      <c r="C141" s="9" t="s">
        <v>230</v>
      </c>
      <c r="D141" s="9" t="s">
        <v>81</v>
      </c>
      <c r="E141" s="9" t="s">
        <v>232</v>
      </c>
      <c r="F141" s="9" t="s">
        <v>116</v>
      </c>
      <c r="G141" s="9" t="s">
        <v>115</v>
      </c>
      <c r="H141" s="126">
        <f>K141</f>
        <v>0</v>
      </c>
      <c r="I141" s="107"/>
      <c r="J141" s="78"/>
      <c r="K141" s="26"/>
      <c r="L141" s="107"/>
      <c r="M141" s="107"/>
      <c r="N141" s="107"/>
      <c r="O141" s="6"/>
    </row>
    <row r="142" spans="1:15" s="25" customFormat="1" ht="29.25" customHeight="1">
      <c r="A142" s="681" t="s">
        <v>224</v>
      </c>
      <c r="B142" s="682"/>
      <c r="C142" s="27" t="s">
        <v>80</v>
      </c>
      <c r="D142" s="3"/>
      <c r="E142" s="3"/>
      <c r="F142" s="3"/>
      <c r="G142" s="3"/>
      <c r="H142" s="124">
        <f>N142</f>
        <v>102004.12000000001</v>
      </c>
      <c r="I142" s="119"/>
      <c r="J142" s="119"/>
      <c r="K142" s="119"/>
      <c r="L142" s="119"/>
      <c r="M142" s="119"/>
      <c r="N142" s="97">
        <f>SUM(N143:N153)</f>
        <v>102004.12000000001</v>
      </c>
      <c r="O142" s="6"/>
    </row>
    <row r="143" spans="1:15" s="25" customFormat="1" ht="13.5" customHeight="1" hidden="1">
      <c r="A143" s="45" t="s">
        <v>8</v>
      </c>
      <c r="B143" s="8"/>
      <c r="C143" s="9" t="s">
        <v>80</v>
      </c>
      <c r="D143" s="9" t="s">
        <v>81</v>
      </c>
      <c r="E143" s="9" t="s">
        <v>108</v>
      </c>
      <c r="F143" s="9" t="s">
        <v>128</v>
      </c>
      <c r="G143" s="9" t="s">
        <v>115</v>
      </c>
      <c r="H143" s="126">
        <f aca="true" t="shared" si="8" ref="H143:H151">N143</f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 hidden="1">
      <c r="A144" s="22" t="s">
        <v>11</v>
      </c>
      <c r="B144" s="9"/>
      <c r="C144" s="9" t="s">
        <v>80</v>
      </c>
      <c r="D144" s="9" t="s">
        <v>81</v>
      </c>
      <c r="E144" s="9" t="s">
        <v>108</v>
      </c>
      <c r="F144" s="9" t="s">
        <v>121</v>
      </c>
      <c r="G144" s="9" t="s">
        <v>115</v>
      </c>
      <c r="H144" s="126">
        <f t="shared" si="8"/>
        <v>0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/>
      <c r="N144" s="122"/>
      <c r="O144" s="6"/>
    </row>
    <row r="145" spans="1:15" s="25" customFormat="1" ht="13.5" customHeight="1">
      <c r="A145" s="22" t="s">
        <v>11</v>
      </c>
      <c r="B145" s="9"/>
      <c r="C145" s="9" t="s">
        <v>80</v>
      </c>
      <c r="D145" s="9" t="s">
        <v>81</v>
      </c>
      <c r="E145" s="9" t="s">
        <v>218</v>
      </c>
      <c r="F145" s="9" t="s">
        <v>121</v>
      </c>
      <c r="G145" s="9" t="s">
        <v>115</v>
      </c>
      <c r="H145" s="126">
        <f>N145</f>
        <v>2815.2</v>
      </c>
      <c r="I145" s="107" t="s">
        <v>76</v>
      </c>
      <c r="J145" s="107" t="s">
        <v>76</v>
      </c>
      <c r="K145" s="107" t="s">
        <v>76</v>
      </c>
      <c r="L145" s="107" t="s">
        <v>76</v>
      </c>
      <c r="M145" s="107" t="s">
        <v>76</v>
      </c>
      <c r="N145" s="78">
        <v>2815.2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218</v>
      </c>
      <c r="F146" s="9" t="s">
        <v>116</v>
      </c>
      <c r="G146" s="9" t="s">
        <v>115</v>
      </c>
      <c r="H146" s="126">
        <f t="shared" si="8"/>
        <v>13427.57</v>
      </c>
      <c r="I146" s="107" t="s">
        <v>76</v>
      </c>
      <c r="J146" s="107"/>
      <c r="K146" s="107" t="s">
        <v>76</v>
      </c>
      <c r="L146" s="107" t="s">
        <v>76</v>
      </c>
      <c r="M146" s="107"/>
      <c r="N146" s="433">
        <v>13427.57</v>
      </c>
      <c r="O146" s="6"/>
    </row>
    <row r="147" spans="1:15" s="25" customFormat="1" ht="13.5" customHeight="1">
      <c r="A147" s="22" t="s">
        <v>362</v>
      </c>
      <c r="B147" s="9"/>
      <c r="C147" s="9" t="s">
        <v>80</v>
      </c>
      <c r="D147" s="9" t="s">
        <v>81</v>
      </c>
      <c r="E147" s="9" t="s">
        <v>218</v>
      </c>
      <c r="F147" s="9" t="s">
        <v>361</v>
      </c>
      <c r="G147" s="9" t="s">
        <v>115</v>
      </c>
      <c r="H147" s="126">
        <f t="shared" si="8"/>
        <v>3408.3</v>
      </c>
      <c r="I147" s="107"/>
      <c r="J147" s="107"/>
      <c r="K147" s="107"/>
      <c r="L147" s="107"/>
      <c r="M147" s="107"/>
      <c r="N147" s="433">
        <v>3408.3</v>
      </c>
      <c r="O147" s="6"/>
    </row>
    <row r="148" spans="1:15" s="25" customFormat="1" ht="13.5" customHeight="1">
      <c r="A148" s="22" t="s">
        <v>12</v>
      </c>
      <c r="B148" s="9"/>
      <c r="C148" s="9" t="s">
        <v>80</v>
      </c>
      <c r="D148" s="9" t="s">
        <v>81</v>
      </c>
      <c r="E148" s="9" t="s">
        <v>108</v>
      </c>
      <c r="F148" s="9" t="s">
        <v>116</v>
      </c>
      <c r="G148" s="9" t="s">
        <v>115</v>
      </c>
      <c r="H148" s="126">
        <f>N148</f>
        <v>30000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 t="s">
        <v>76</v>
      </c>
      <c r="N148" s="78">
        <v>30000</v>
      </c>
      <c r="O148" s="6"/>
    </row>
    <row r="149" spans="1:15" s="25" customFormat="1" ht="13.5" customHeight="1">
      <c r="A149" s="22" t="s">
        <v>14</v>
      </c>
      <c r="B149" s="9"/>
      <c r="C149" s="9" t="s">
        <v>80</v>
      </c>
      <c r="D149" s="9" t="s">
        <v>81</v>
      </c>
      <c r="E149" s="9" t="s">
        <v>108</v>
      </c>
      <c r="F149" s="9" t="s">
        <v>118</v>
      </c>
      <c r="G149" s="9" t="s">
        <v>115</v>
      </c>
      <c r="H149" s="126">
        <f t="shared" si="8"/>
        <v>35000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>
        <v>35000</v>
      </c>
      <c r="O149" s="6"/>
    </row>
    <row r="150" spans="1:15" s="25" customFormat="1" ht="13.5" customHeight="1">
      <c r="A150" s="483" t="s">
        <v>463</v>
      </c>
      <c r="B150" s="484"/>
      <c r="C150" s="484" t="s">
        <v>80</v>
      </c>
      <c r="D150" s="484" t="s">
        <v>81</v>
      </c>
      <c r="E150" s="484" t="s">
        <v>108</v>
      </c>
      <c r="F150" s="484" t="s">
        <v>118</v>
      </c>
      <c r="G150" s="484" t="s">
        <v>115</v>
      </c>
      <c r="H150" s="485">
        <f t="shared" si="8"/>
        <v>2504.12</v>
      </c>
      <c r="I150" s="486" t="s">
        <v>76</v>
      </c>
      <c r="J150" s="486" t="s">
        <v>76</v>
      </c>
      <c r="K150" s="486" t="s">
        <v>76</v>
      </c>
      <c r="L150" s="486"/>
      <c r="M150" s="486"/>
      <c r="N150" s="487">
        <v>2504.12</v>
      </c>
      <c r="O150" s="6"/>
    </row>
    <row r="151" spans="1:15" s="25" customFormat="1" ht="39" customHeight="1">
      <c r="A151" s="22" t="s">
        <v>363</v>
      </c>
      <c r="B151" s="9"/>
      <c r="C151" s="9" t="s">
        <v>80</v>
      </c>
      <c r="D151" s="9" t="s">
        <v>81</v>
      </c>
      <c r="E151" s="9" t="s">
        <v>218</v>
      </c>
      <c r="F151" s="9" t="s">
        <v>240</v>
      </c>
      <c r="G151" s="9" t="s">
        <v>115</v>
      </c>
      <c r="H151" s="126">
        <f t="shared" si="8"/>
        <v>3937.5</v>
      </c>
      <c r="I151" s="107" t="s">
        <v>76</v>
      </c>
      <c r="J151" s="107"/>
      <c r="K151" s="107" t="s">
        <v>76</v>
      </c>
      <c r="L151" s="107" t="s">
        <v>76</v>
      </c>
      <c r="M151" s="107"/>
      <c r="N151" s="99">
        <v>3937.5</v>
      </c>
      <c r="O151" s="6"/>
    </row>
    <row r="152" spans="1:15" s="25" customFormat="1" ht="30.75" customHeight="1">
      <c r="A152" s="431" t="s">
        <v>364</v>
      </c>
      <c r="B152" s="20"/>
      <c r="C152" s="9" t="s">
        <v>80</v>
      </c>
      <c r="D152" s="9" t="s">
        <v>81</v>
      </c>
      <c r="E152" s="9" t="s">
        <v>218</v>
      </c>
      <c r="F152" s="9" t="s">
        <v>242</v>
      </c>
      <c r="G152" s="9" t="s">
        <v>115</v>
      </c>
      <c r="H152" s="126">
        <f>N152</f>
        <v>7087.63</v>
      </c>
      <c r="I152" s="107" t="s">
        <v>76</v>
      </c>
      <c r="J152" s="108"/>
      <c r="K152" s="107" t="s">
        <v>76</v>
      </c>
      <c r="L152" s="108"/>
      <c r="M152" s="108"/>
      <c r="N152" s="78">
        <v>7087.63</v>
      </c>
      <c r="O152" s="6"/>
    </row>
    <row r="153" spans="1:15" s="25" customFormat="1" ht="30.75" customHeight="1">
      <c r="A153" s="431" t="s">
        <v>243</v>
      </c>
      <c r="B153" s="20"/>
      <c r="C153" s="9" t="s">
        <v>80</v>
      </c>
      <c r="D153" s="9" t="s">
        <v>81</v>
      </c>
      <c r="E153" s="9" t="s">
        <v>218</v>
      </c>
      <c r="F153" s="9" t="s">
        <v>244</v>
      </c>
      <c r="G153" s="9" t="s">
        <v>115</v>
      </c>
      <c r="H153" s="126">
        <f>N153</f>
        <v>3823.8</v>
      </c>
      <c r="I153" s="107"/>
      <c r="J153" s="108"/>
      <c r="K153" s="107"/>
      <c r="L153" s="108"/>
      <c r="M153" s="108"/>
      <c r="N153" s="78">
        <v>3823.8</v>
      </c>
      <c r="O153" s="6"/>
    </row>
    <row r="154" spans="1:15" s="25" customFormat="1" ht="27">
      <c r="A154" s="96" t="s">
        <v>129</v>
      </c>
      <c r="B154" s="32" t="s">
        <v>130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16689700</v>
      </c>
      <c r="I154" s="130">
        <f>I56+I59+I87+I88+I57+I72</f>
        <v>16679700</v>
      </c>
      <c r="J154" s="130"/>
      <c r="K154" s="130">
        <f>K137</f>
        <v>10000</v>
      </c>
      <c r="L154" s="134" t="s">
        <v>76</v>
      </c>
      <c r="M154" s="134" t="s">
        <v>76</v>
      </c>
      <c r="N154" s="130"/>
      <c r="O154" s="6" t="s">
        <v>76</v>
      </c>
    </row>
    <row r="155" spans="1:15" s="25" customFormat="1" ht="27">
      <c r="A155" s="96" t="s">
        <v>131</v>
      </c>
      <c r="B155" s="32" t="s">
        <v>132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H157+H156</f>
        <v>7309108.82</v>
      </c>
      <c r="I155" s="130">
        <f>I157+I156</f>
        <v>5028739</v>
      </c>
      <c r="J155" s="130">
        <f>J157+J156</f>
        <v>0</v>
      </c>
      <c r="K155" s="130">
        <f>K157+K156</f>
        <v>2178365.7</v>
      </c>
      <c r="L155" s="134"/>
      <c r="M155" s="134"/>
      <c r="N155" s="130">
        <f>N157+N156</f>
        <v>102004.12</v>
      </c>
      <c r="O155" s="6"/>
    </row>
    <row r="156" spans="1:15" s="25" customFormat="1" ht="24" customHeight="1">
      <c r="A156" s="96" t="s">
        <v>133</v>
      </c>
      <c r="B156" s="32" t="s">
        <v>134</v>
      </c>
      <c r="C156" s="33" t="s">
        <v>76</v>
      </c>
      <c r="D156" s="33" t="s">
        <v>76</v>
      </c>
      <c r="E156" s="33" t="s">
        <v>76</v>
      </c>
      <c r="F156" s="33" t="s">
        <v>76</v>
      </c>
      <c r="G156" s="33" t="s">
        <v>76</v>
      </c>
      <c r="H156" s="130">
        <f>I156+N156+K156</f>
        <v>0</v>
      </c>
      <c r="I156" s="130"/>
      <c r="J156" s="130"/>
      <c r="K156" s="130">
        <v>0</v>
      </c>
      <c r="L156" s="134"/>
      <c r="M156" s="134"/>
      <c r="N156" s="130">
        <v>0</v>
      </c>
      <c r="O156" s="6"/>
    </row>
    <row r="157" spans="1:15" s="25" customFormat="1" ht="12.75" customHeight="1">
      <c r="A157" s="96" t="s">
        <v>135</v>
      </c>
      <c r="B157" s="32" t="s">
        <v>136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I157+N157+K157</f>
        <v>7309108.82</v>
      </c>
      <c r="I157" s="130">
        <f>I61+I66+I67+I68+I69+I73+I78+I79+I81+I83+I84+I85+I86+I97+I92+I93+I74+I75+I76+I77+I94+I82+I71</f>
        <v>5028739</v>
      </c>
      <c r="J157" s="130"/>
      <c r="K157" s="130">
        <f>K101+K105+K134+K135+K119+K120+K121+K127+K129+K113+K114+K115+K116+K112+K139+K141+K126+K122+K123+K124+K107+K108++K109+K110</f>
        <v>2178365.7</v>
      </c>
      <c r="L157" s="134" t="s">
        <v>76</v>
      </c>
      <c r="M157" s="134" t="s">
        <v>76</v>
      </c>
      <c r="N157" s="130">
        <f>N143+N144+N146+N149+N151+N145+N148+N152+N147+N153+N150</f>
        <v>102004.12</v>
      </c>
      <c r="O157" s="6" t="s">
        <v>76</v>
      </c>
    </row>
    <row r="158" spans="1:15" s="25" customFormat="1" ht="13.5" hidden="1">
      <c r="A158" s="8" t="s">
        <v>137</v>
      </c>
      <c r="B158" s="9" t="s">
        <v>138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f>I158+N158</f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139</v>
      </c>
      <c r="B159" s="9" t="s">
        <v>118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140</v>
      </c>
      <c r="B160" s="9" t="s">
        <v>141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142</v>
      </c>
      <c r="B161" s="9" t="s">
        <v>143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144</v>
      </c>
      <c r="B162" s="9" t="s">
        <v>145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146</v>
      </c>
      <c r="B163" s="9" t="s">
        <v>147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>
      <c r="A164" s="48" t="s">
        <v>137</v>
      </c>
      <c r="B164" s="49" t="s">
        <v>138</v>
      </c>
      <c r="C164" s="50" t="s">
        <v>173</v>
      </c>
      <c r="D164" s="49" t="s">
        <v>81</v>
      </c>
      <c r="E164" s="50" t="s">
        <v>174</v>
      </c>
      <c r="F164" s="50" t="s">
        <v>174</v>
      </c>
      <c r="G164" s="50" t="s">
        <v>175</v>
      </c>
      <c r="H164" s="132">
        <v>28653.9</v>
      </c>
      <c r="I164" s="136"/>
      <c r="J164" s="136"/>
      <c r="K164" s="136"/>
      <c r="L164" s="137"/>
      <c r="M164" s="137"/>
      <c r="N164" s="136"/>
      <c r="O164" s="6"/>
    </row>
    <row r="165" spans="1:15" s="25" customFormat="1" ht="13.5">
      <c r="A165" s="51" t="s">
        <v>142</v>
      </c>
      <c r="B165" s="49" t="s">
        <v>143</v>
      </c>
      <c r="C165" s="50" t="s">
        <v>173</v>
      </c>
      <c r="D165" s="49" t="s">
        <v>81</v>
      </c>
      <c r="E165" s="50" t="s">
        <v>174</v>
      </c>
      <c r="F165" s="50" t="s">
        <v>174</v>
      </c>
      <c r="G165" s="50" t="s">
        <v>176</v>
      </c>
      <c r="H165" s="132">
        <v>28653.9</v>
      </c>
      <c r="I165" s="136"/>
      <c r="J165" s="136"/>
      <c r="K165" s="136"/>
      <c r="L165" s="137"/>
      <c r="M165" s="137"/>
      <c r="N165" s="136"/>
      <c r="O165" s="6"/>
    </row>
    <row r="166" spans="1:15" s="25" customFormat="1" ht="13.5">
      <c r="A166" s="35" t="s">
        <v>148</v>
      </c>
      <c r="B166" s="36" t="s">
        <v>149</v>
      </c>
      <c r="C166" s="37" t="s">
        <v>76</v>
      </c>
      <c r="D166" s="37" t="s">
        <v>76</v>
      </c>
      <c r="E166" s="37" t="s">
        <v>76</v>
      </c>
      <c r="F166" s="37" t="s">
        <v>76</v>
      </c>
      <c r="G166" s="37" t="s">
        <v>76</v>
      </c>
      <c r="H166" s="133">
        <f>I166+K166+N166</f>
        <v>0</v>
      </c>
      <c r="I166" s="133">
        <v>0</v>
      </c>
      <c r="J166" s="133"/>
      <c r="K166" s="133"/>
      <c r="L166" s="138" t="s">
        <v>76</v>
      </c>
      <c r="M166" s="138" t="s">
        <v>76</v>
      </c>
      <c r="N166" s="133"/>
      <c r="O166" s="6" t="s">
        <v>76</v>
      </c>
    </row>
    <row r="167" spans="1:15" s="25" customFormat="1" ht="13.5">
      <c r="A167" s="20" t="s">
        <v>150</v>
      </c>
      <c r="B167" s="9" t="s">
        <v>151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9" ht="12.75">
      <c r="A169" s="88" t="s">
        <v>271</v>
      </c>
    </row>
    <row r="170" ht="12.75">
      <c r="A170" s="88"/>
    </row>
    <row r="171" ht="19.5" customHeight="1">
      <c r="A171" s="88" t="s">
        <v>17</v>
      </c>
    </row>
    <row r="172" ht="12.75">
      <c r="A172" s="88" t="s">
        <v>272</v>
      </c>
    </row>
    <row r="173" ht="12.75">
      <c r="A173" s="88"/>
    </row>
    <row r="174" ht="13.5" customHeight="1">
      <c r="A174" s="89"/>
    </row>
    <row r="175" ht="13.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</sheetData>
  <sheetProtection/>
  <mergeCells count="83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A36:A39"/>
    <mergeCell ref="C36:C39"/>
    <mergeCell ref="H4:O4"/>
    <mergeCell ref="H5:H6"/>
    <mergeCell ref="I5:O5"/>
    <mergeCell ref="N6:O6"/>
    <mergeCell ref="A19:A23"/>
    <mergeCell ref="C19:C23"/>
    <mergeCell ref="F19:F23"/>
    <mergeCell ref="B16:B23"/>
    <mergeCell ref="E11:E13"/>
    <mergeCell ref="F11:F13"/>
    <mergeCell ref="A30:A35"/>
    <mergeCell ref="F31:F35"/>
    <mergeCell ref="B10:B15"/>
    <mergeCell ref="C11:C13"/>
    <mergeCell ref="J16:J17"/>
    <mergeCell ref="A17:A18"/>
    <mergeCell ref="C17:C18"/>
    <mergeCell ref="E17:E18"/>
    <mergeCell ref="F17:F18"/>
    <mergeCell ref="G17:G18"/>
    <mergeCell ref="A40:A42"/>
    <mergeCell ref="C40:C42"/>
    <mergeCell ref="F40:F42"/>
    <mergeCell ref="A45:A46"/>
    <mergeCell ref="C45:C46"/>
    <mergeCell ref="F45:F46"/>
    <mergeCell ref="F61:F66"/>
    <mergeCell ref="G78:G79"/>
    <mergeCell ref="A68:A69"/>
    <mergeCell ref="C68:C69"/>
    <mergeCell ref="E68:E69"/>
    <mergeCell ref="F68:F69"/>
    <mergeCell ref="G68:G69"/>
    <mergeCell ref="E73:E74"/>
    <mergeCell ref="A78:A79"/>
    <mergeCell ref="C78:C79"/>
    <mergeCell ref="C83:C84"/>
    <mergeCell ref="E83:E84"/>
    <mergeCell ref="A55:B55"/>
    <mergeCell ref="A61:A66"/>
    <mergeCell ref="C61:C66"/>
    <mergeCell ref="E78:E79"/>
    <mergeCell ref="F78:F79"/>
    <mergeCell ref="F83:F84"/>
    <mergeCell ref="G83:G84"/>
    <mergeCell ref="A85:A86"/>
    <mergeCell ref="C85:C86"/>
    <mergeCell ref="E85:E86"/>
    <mergeCell ref="F85:F86"/>
    <mergeCell ref="G85:G86"/>
    <mergeCell ref="A80:B80"/>
    <mergeCell ref="A83:A84"/>
    <mergeCell ref="G119:G121"/>
    <mergeCell ref="A98:B98"/>
    <mergeCell ref="A102:B102"/>
    <mergeCell ref="A106:B106"/>
    <mergeCell ref="A111:B111"/>
    <mergeCell ref="F126:F127"/>
    <mergeCell ref="A117:B117"/>
    <mergeCell ref="A119:A121"/>
    <mergeCell ref="F119:F121"/>
    <mergeCell ref="A142:B142"/>
    <mergeCell ref="C119:C121"/>
    <mergeCell ref="E119:E121"/>
    <mergeCell ref="G126:G127"/>
    <mergeCell ref="A128:B128"/>
    <mergeCell ref="A131:B131"/>
    <mergeCell ref="A133:B133"/>
    <mergeCell ref="A126:A127"/>
    <mergeCell ref="C126:C127"/>
    <mergeCell ref="E126:E12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view="pageBreakPreview" zoomScaleSheetLayoutView="100" zoomScalePageLayoutView="0" workbookViewId="0" topLeftCell="A41">
      <selection activeCell="F72" sqref="F72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469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H10+H16+H24</f>
        <v>23998808.82</v>
      </c>
      <c r="I9" s="124">
        <f>I16</f>
        <v>21708439</v>
      </c>
      <c r="J9" s="124"/>
      <c r="K9" s="124">
        <f>K24</f>
        <v>2188365.7</v>
      </c>
      <c r="L9" s="125" t="s">
        <v>76</v>
      </c>
      <c r="M9" s="125" t="s">
        <v>76</v>
      </c>
      <c r="N9" s="124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21708439</v>
      </c>
      <c r="I16" s="78">
        <f>I17+I19+I20+I18+I23</f>
        <v>21708439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17351100</v>
      </c>
      <c r="I18" s="359">
        <f>16689500+661600</f>
        <v>17351100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12.75">
      <c r="A24" s="72" t="s">
        <v>87</v>
      </c>
      <c r="B24" s="62" t="s">
        <v>88</v>
      </c>
      <c r="C24" s="62" t="s">
        <v>76</v>
      </c>
      <c r="D24" s="62" t="s">
        <v>76</v>
      </c>
      <c r="E24" s="62" t="s">
        <v>76</v>
      </c>
      <c r="F24" s="62" t="s">
        <v>76</v>
      </c>
      <c r="G24" s="62" t="s">
        <v>76</v>
      </c>
      <c r="H24" s="127">
        <f>K24</f>
        <v>2188365.7</v>
      </c>
      <c r="I24" s="102" t="s">
        <v>76</v>
      </c>
      <c r="J24" s="100"/>
      <c r="K24" s="100">
        <f>SUM(K25:K48)</f>
        <v>2188365.7</v>
      </c>
      <c r="L24" s="102" t="s">
        <v>76</v>
      </c>
      <c r="M24" s="102" t="s">
        <v>76</v>
      </c>
      <c r="N24" s="102" t="s">
        <v>76</v>
      </c>
      <c r="O24" s="7" t="s">
        <v>76</v>
      </c>
    </row>
    <row r="25" spans="1:16" ht="69" customHeight="1">
      <c r="A25" s="73" t="s">
        <v>45</v>
      </c>
      <c r="B25" s="62"/>
      <c r="C25" s="63" t="s">
        <v>21</v>
      </c>
      <c r="D25" s="389" t="s">
        <v>89</v>
      </c>
      <c r="E25" s="6"/>
      <c r="F25" s="6" t="s">
        <v>284</v>
      </c>
      <c r="G25" s="6"/>
      <c r="H25" s="390">
        <f>K25</f>
        <v>653340</v>
      </c>
      <c r="I25" s="107" t="s">
        <v>76</v>
      </c>
      <c r="J25" s="116"/>
      <c r="K25" s="391">
        <f>676900-23560</f>
        <v>653340</v>
      </c>
      <c r="L25" s="101" t="s">
        <v>76</v>
      </c>
      <c r="M25" s="101" t="s">
        <v>76</v>
      </c>
      <c r="N25" s="101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24.75" customHeight="1">
      <c r="A30" s="699" t="s">
        <v>280</v>
      </c>
      <c r="B30" s="62"/>
      <c r="C30" s="63" t="s">
        <v>50</v>
      </c>
      <c r="D30" s="6" t="s">
        <v>81</v>
      </c>
      <c r="E30" s="392"/>
      <c r="F30" s="6" t="s">
        <v>284</v>
      </c>
      <c r="G30" s="9"/>
      <c r="H30" s="126">
        <f>K30</f>
        <v>80000</v>
      </c>
      <c r="I30" s="107"/>
      <c r="J30" s="322"/>
      <c r="K30" s="78">
        <v>80000</v>
      </c>
      <c r="L30" s="323"/>
      <c r="M30" s="323"/>
      <c r="N30" s="107" t="s">
        <v>76</v>
      </c>
      <c r="O30" s="7"/>
    </row>
    <row r="31" spans="1:15" ht="21" customHeight="1" hidden="1">
      <c r="A31" s="700"/>
      <c r="B31" s="62"/>
      <c r="C31" s="63" t="s">
        <v>50</v>
      </c>
      <c r="D31" s="393" t="s">
        <v>332</v>
      </c>
      <c r="E31" s="20"/>
      <c r="F31" s="695" t="s">
        <v>284</v>
      </c>
      <c r="G31" s="9"/>
      <c r="H31" s="25"/>
      <c r="I31" s="107" t="s">
        <v>76</v>
      </c>
      <c r="J31" s="108"/>
      <c r="K31" s="109"/>
      <c r="L31" s="108"/>
      <c r="M31" s="108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214</v>
      </c>
      <c r="E32" s="9"/>
      <c r="F32" s="695"/>
      <c r="G32" s="9"/>
      <c r="H32" s="126">
        <f aca="true" t="shared" si="2" ref="H32:H48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333</v>
      </c>
      <c r="E33" s="9"/>
      <c r="F33" s="695"/>
      <c r="G33" s="9"/>
      <c r="H33" s="126">
        <f t="shared" si="2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216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1"/>
      <c r="B35" s="62"/>
      <c r="C35" s="63" t="s">
        <v>50</v>
      </c>
      <c r="D35" s="9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>
      <c r="A36" s="741" t="s">
        <v>372</v>
      </c>
      <c r="B36" s="60"/>
      <c r="C36" s="693" t="s">
        <v>373</v>
      </c>
      <c r="D36" s="434" t="s">
        <v>332</v>
      </c>
      <c r="E36" s="9"/>
      <c r="F36" s="6" t="s">
        <v>284</v>
      </c>
      <c r="G36" s="9"/>
      <c r="H36" s="126">
        <f t="shared" si="2"/>
        <v>43200</v>
      </c>
      <c r="I36" s="107"/>
      <c r="J36" s="78"/>
      <c r="K36" s="78">
        <v>43200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214</v>
      </c>
      <c r="E37" s="9"/>
      <c r="F37" s="6" t="s">
        <v>284</v>
      </c>
      <c r="G37" s="9"/>
      <c r="H37" s="126">
        <f t="shared" si="2"/>
        <v>4800</v>
      </c>
      <c r="I37" s="107"/>
      <c r="J37" s="78"/>
      <c r="K37" s="78">
        <v>4800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333</v>
      </c>
      <c r="E38" s="9"/>
      <c r="F38" s="6" t="s">
        <v>284</v>
      </c>
      <c r="G38" s="9"/>
      <c r="H38" s="126">
        <f t="shared" si="2"/>
        <v>10800</v>
      </c>
      <c r="I38" s="107"/>
      <c r="J38" s="78"/>
      <c r="K38" s="78">
        <v>10800</v>
      </c>
      <c r="L38" s="26"/>
      <c r="M38" s="26"/>
      <c r="N38" s="107"/>
      <c r="O38" s="7"/>
    </row>
    <row r="39" spans="1:15" ht="12.75" customHeight="1">
      <c r="A39" s="743"/>
      <c r="B39" s="60"/>
      <c r="C39" s="694"/>
      <c r="D39" s="434" t="s">
        <v>216</v>
      </c>
      <c r="E39" s="9"/>
      <c r="F39" s="6" t="s">
        <v>284</v>
      </c>
      <c r="G39" s="9"/>
      <c r="H39" s="126">
        <f t="shared" si="2"/>
        <v>1200</v>
      </c>
      <c r="I39" s="107"/>
      <c r="J39" s="78"/>
      <c r="K39" s="78">
        <v>1200</v>
      </c>
      <c r="L39" s="26"/>
      <c r="M39" s="26"/>
      <c r="N39" s="107"/>
      <c r="O39" s="7"/>
    </row>
    <row r="40" spans="1:15" ht="12.75">
      <c r="A40" s="711" t="s">
        <v>155</v>
      </c>
      <c r="B40" s="62"/>
      <c r="C40" s="698" t="s">
        <v>51</v>
      </c>
      <c r="D40" s="6" t="s">
        <v>81</v>
      </c>
      <c r="E40" s="9"/>
      <c r="F40" s="693" t="s">
        <v>284</v>
      </c>
      <c r="G40" s="9"/>
      <c r="H40" s="126">
        <f t="shared" si="2"/>
        <v>201123.7</v>
      </c>
      <c r="I40" s="107" t="s">
        <v>76</v>
      </c>
      <c r="J40" s="78"/>
      <c r="K40" s="78">
        <f>195152.7+2985.5+2985.5</f>
        <v>201123.7</v>
      </c>
      <c r="L40" s="26"/>
      <c r="M40" s="26"/>
      <c r="N40" s="107" t="s">
        <v>76</v>
      </c>
      <c r="O40" s="7"/>
    </row>
    <row r="41" spans="1:21" ht="12.75">
      <c r="A41" s="711"/>
      <c r="B41" s="62"/>
      <c r="C41" s="698"/>
      <c r="D41" s="6" t="s">
        <v>166</v>
      </c>
      <c r="E41" s="9"/>
      <c r="F41" s="697"/>
      <c r="G41" s="9"/>
      <c r="H41" s="126">
        <f t="shared" si="2"/>
        <v>188911.8</v>
      </c>
      <c r="I41" s="107" t="s">
        <v>76</v>
      </c>
      <c r="J41" s="78"/>
      <c r="K41" s="78">
        <f>148024.8+20443.5+20443.5</f>
        <v>188911.8</v>
      </c>
      <c r="L41" s="26"/>
      <c r="M41" s="26"/>
      <c r="N41" s="107" t="s">
        <v>76</v>
      </c>
      <c r="O41" s="7"/>
      <c r="U41" s="392"/>
    </row>
    <row r="42" spans="1:15" ht="12.75">
      <c r="A42" s="711"/>
      <c r="B42" s="62"/>
      <c r="C42" s="698"/>
      <c r="D42" s="9" t="s">
        <v>196</v>
      </c>
      <c r="E42" s="9"/>
      <c r="F42" s="694"/>
      <c r="G42" s="9"/>
      <c r="H42" s="126">
        <f t="shared" si="2"/>
        <v>20990.2</v>
      </c>
      <c r="I42" s="107" t="s">
        <v>76</v>
      </c>
      <c r="J42" s="78"/>
      <c r="K42" s="78">
        <f>16447.2+2271.5+2271.5</f>
        <v>20990.2</v>
      </c>
      <c r="L42" s="26"/>
      <c r="M42" s="26"/>
      <c r="N42" s="107" t="s">
        <v>76</v>
      </c>
      <c r="O42" s="7"/>
    </row>
    <row r="43" spans="1:15" ht="63.75">
      <c r="A43" s="65" t="s">
        <v>43</v>
      </c>
      <c r="B43" s="66"/>
      <c r="C43" s="368" t="s">
        <v>42</v>
      </c>
      <c r="D43" s="6" t="s">
        <v>162</v>
      </c>
      <c r="E43" s="9"/>
      <c r="F43" s="6" t="s">
        <v>284</v>
      </c>
      <c r="G43" s="9"/>
      <c r="H43" s="126">
        <f t="shared" si="2"/>
        <v>950000</v>
      </c>
      <c r="I43" s="107" t="s">
        <v>76</v>
      </c>
      <c r="J43" s="78"/>
      <c r="K43" s="78">
        <v>950000</v>
      </c>
      <c r="L43" s="26"/>
      <c r="M43" s="26"/>
      <c r="N43" s="107" t="s">
        <v>76</v>
      </c>
      <c r="O43" s="7"/>
    </row>
    <row r="44" spans="1:21" ht="25.5">
      <c r="A44" s="65" t="s">
        <v>225</v>
      </c>
      <c r="B44" s="66"/>
      <c r="C44" s="59" t="s">
        <v>203</v>
      </c>
      <c r="D44" s="59" t="s">
        <v>81</v>
      </c>
      <c r="E44" s="59"/>
      <c r="F44" s="6" t="s">
        <v>284</v>
      </c>
      <c r="G44" s="9"/>
      <c r="H44" s="126">
        <f t="shared" si="2"/>
        <v>10000</v>
      </c>
      <c r="I44" s="107" t="s">
        <v>76</v>
      </c>
      <c r="J44" s="78"/>
      <c r="K44" s="78">
        <v>10000</v>
      </c>
      <c r="L44" s="26"/>
      <c r="M44" s="26"/>
      <c r="N44" s="107" t="s">
        <v>76</v>
      </c>
      <c r="O44" s="7"/>
      <c r="U44" s="469"/>
    </row>
    <row r="45" spans="1:15" ht="21" customHeight="1" hidden="1">
      <c r="A45" s="689" t="s">
        <v>199</v>
      </c>
      <c r="B45" s="66"/>
      <c r="C45" s="690" t="s">
        <v>192</v>
      </c>
      <c r="D45" s="59" t="s">
        <v>193</v>
      </c>
      <c r="E45" s="59"/>
      <c r="F45" s="693" t="s">
        <v>209</v>
      </c>
      <c r="G45" s="9"/>
      <c r="H45" s="126">
        <f t="shared" si="2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18" customHeight="1" hidden="1">
      <c r="A46" s="689"/>
      <c r="B46" s="66"/>
      <c r="C46" s="690"/>
      <c r="D46" s="59" t="s">
        <v>196</v>
      </c>
      <c r="E46" s="59"/>
      <c r="F46" s="694"/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38.25" hidden="1">
      <c r="A47" s="22" t="s">
        <v>49</v>
      </c>
      <c r="B47" s="6"/>
      <c r="C47" s="6" t="s">
        <v>23</v>
      </c>
      <c r="D47" s="6" t="s">
        <v>228</v>
      </c>
      <c r="E47" s="6"/>
      <c r="F47" s="6" t="s">
        <v>209</v>
      </c>
      <c r="G47" s="6"/>
      <c r="H47" s="129">
        <f t="shared" si="2"/>
        <v>0</v>
      </c>
      <c r="I47" s="26"/>
      <c r="J47" s="26"/>
      <c r="K47" s="78"/>
      <c r="L47" s="26"/>
      <c r="M47" s="26"/>
      <c r="N47" s="26"/>
      <c r="O47" s="7"/>
    </row>
    <row r="48" spans="1:15" ht="22.5" customHeight="1" hidden="1">
      <c r="A48" s="8" t="s">
        <v>229</v>
      </c>
      <c r="B48" s="6"/>
      <c r="C48" s="22" t="s">
        <v>230</v>
      </c>
      <c r="D48" s="6" t="s">
        <v>81</v>
      </c>
      <c r="E48" s="9"/>
      <c r="F48" s="15" t="s">
        <v>209</v>
      </c>
      <c r="G48" s="9"/>
      <c r="H48" s="126">
        <f t="shared" si="2"/>
        <v>0</v>
      </c>
      <c r="I48" s="107"/>
      <c r="J48" s="78"/>
      <c r="K48" s="26"/>
      <c r="L48" s="26"/>
      <c r="M48" s="26"/>
      <c r="N48" s="26"/>
      <c r="O48" s="7"/>
    </row>
    <row r="49" spans="1:21" s="25" customFormat="1" ht="17.25" customHeight="1">
      <c r="A49" s="23" t="s">
        <v>94</v>
      </c>
      <c r="B49" s="24" t="s">
        <v>95</v>
      </c>
      <c r="C49" s="56" t="s">
        <v>76</v>
      </c>
      <c r="D49" s="56" t="s">
        <v>76</v>
      </c>
      <c r="E49" s="56" t="s">
        <v>76</v>
      </c>
      <c r="F49" s="56" t="s">
        <v>76</v>
      </c>
      <c r="G49" s="56" t="s">
        <v>76</v>
      </c>
      <c r="H49" s="130">
        <f>I49+N49+K49</f>
        <v>23998808.82</v>
      </c>
      <c r="I49" s="130">
        <f>I55+I80+I98</f>
        <v>21708439</v>
      </c>
      <c r="J49" s="130"/>
      <c r="K49" s="130">
        <f>K98+K102+K104+K117+K128+K131+K133+K111+K136+K138+K140+K106</f>
        <v>2188365.7</v>
      </c>
      <c r="L49" s="130"/>
      <c r="M49" s="130"/>
      <c r="N49" s="130">
        <f>N142</f>
        <v>102004.12000000001</v>
      </c>
      <c r="O49" s="95"/>
      <c r="U49" s="380"/>
    </row>
    <row r="50" spans="1:15" s="25" customFormat="1" ht="18" customHeight="1">
      <c r="A50" s="8" t="s">
        <v>96</v>
      </c>
      <c r="B50" s="9" t="s">
        <v>97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16583596</v>
      </c>
      <c r="I50" s="78">
        <f>I51+I53</f>
        <v>16583596</v>
      </c>
      <c r="J50" s="78"/>
      <c r="K50" s="78"/>
      <c r="L50" s="78"/>
      <c r="M50" s="78"/>
      <c r="N50" s="78"/>
      <c r="O50" s="7" t="s">
        <v>76</v>
      </c>
    </row>
    <row r="51" spans="1:15" s="25" customFormat="1" ht="25.5">
      <c r="A51" s="22" t="s">
        <v>98</v>
      </c>
      <c r="B51" s="9" t="s">
        <v>99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16583596</v>
      </c>
      <c r="I51" s="78">
        <f>I56+I57+I59+I60</f>
        <v>16583596</v>
      </c>
      <c r="J51" s="78"/>
      <c r="K51" s="78"/>
      <c r="L51" s="78"/>
      <c r="M51" s="78"/>
      <c r="N51" s="78"/>
      <c r="O51" s="7" t="s">
        <v>76</v>
      </c>
    </row>
    <row r="52" spans="1:15" s="25" customFormat="1" ht="9.75" customHeight="1" hidden="1">
      <c r="A52" s="8" t="s">
        <v>100</v>
      </c>
      <c r="B52" s="9" t="s">
        <v>101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/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25.5" hidden="1">
      <c r="A53" s="8" t="s">
        <v>102</v>
      </c>
      <c r="B53" s="9" t="s">
        <v>103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0</v>
      </c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13.5" customHeight="1" hidden="1">
      <c r="A54" s="8" t="s">
        <v>104</v>
      </c>
      <c r="B54" s="9" t="s">
        <v>105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v>0</v>
      </c>
      <c r="I54" s="78">
        <v>0</v>
      </c>
      <c r="J54" s="78"/>
      <c r="K54" s="78"/>
      <c r="L54" s="78"/>
      <c r="M54" s="78"/>
      <c r="N54" s="78"/>
      <c r="O54" s="21"/>
    </row>
    <row r="55" spans="1:15" s="25" customFormat="1" ht="29.25" customHeight="1">
      <c r="A55" s="681" t="s">
        <v>428</v>
      </c>
      <c r="B55" s="683"/>
      <c r="C55" s="27" t="s">
        <v>18</v>
      </c>
      <c r="D55" s="3"/>
      <c r="E55" s="27"/>
      <c r="F55" s="3"/>
      <c r="G55" s="3"/>
      <c r="H55" s="124">
        <f>SUM(H56:H79)</f>
        <v>17759400</v>
      </c>
      <c r="I55" s="97">
        <f>SUM(I56:I79)</f>
        <v>17759400</v>
      </c>
      <c r="J55" s="110"/>
      <c r="K55" s="111" t="s">
        <v>107</v>
      </c>
      <c r="L55" s="111"/>
      <c r="M55" s="111"/>
      <c r="N55" s="111" t="s">
        <v>107</v>
      </c>
      <c r="O55" s="28"/>
    </row>
    <row r="56" spans="1:15" s="25" customFormat="1" ht="12.75">
      <c r="A56" s="22" t="s">
        <v>4</v>
      </c>
      <c r="B56" s="9"/>
      <c r="C56" s="6" t="s">
        <v>18</v>
      </c>
      <c r="D56" s="14">
        <v>14130030000000000</v>
      </c>
      <c r="E56" s="6" t="s">
        <v>108</v>
      </c>
      <c r="F56" s="6" t="s">
        <v>99</v>
      </c>
      <c r="G56" s="6" t="s">
        <v>109</v>
      </c>
      <c r="H56" s="126">
        <f aca="true" t="shared" si="3" ref="H56:H94">I56</f>
        <v>12728596</v>
      </c>
      <c r="I56" s="112">
        <f>12739000-10404</f>
        <v>12728596</v>
      </c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 t="s">
        <v>76</v>
      </c>
    </row>
    <row r="57" spans="1:15" s="25" customFormat="1" ht="15.75" customHeight="1" hidden="1">
      <c r="A57" s="495" t="s">
        <v>5</v>
      </c>
      <c r="B57" s="496"/>
      <c r="C57" s="755" t="s">
        <v>18</v>
      </c>
      <c r="D57" s="496" t="s">
        <v>81</v>
      </c>
      <c r="E57" s="498" t="s">
        <v>108</v>
      </c>
      <c r="F57" s="498" t="s">
        <v>110</v>
      </c>
      <c r="G57" s="498" t="s">
        <v>111</v>
      </c>
      <c r="H57" s="499">
        <f t="shared" si="3"/>
        <v>0</v>
      </c>
      <c r="I57" s="501"/>
      <c r="J57" s="501"/>
      <c r="K57" s="502" t="s">
        <v>76</v>
      </c>
      <c r="L57" s="502" t="s">
        <v>76</v>
      </c>
      <c r="M57" s="502" t="s">
        <v>76</v>
      </c>
      <c r="N57" s="502" t="s">
        <v>76</v>
      </c>
      <c r="O57" s="6"/>
    </row>
    <row r="58" spans="1:15" s="25" customFormat="1" ht="12.75">
      <c r="A58" s="495" t="s">
        <v>5</v>
      </c>
      <c r="B58" s="496"/>
      <c r="C58" s="756"/>
      <c r="D58" s="497">
        <v>14130030000000000</v>
      </c>
      <c r="E58" s="496" t="s">
        <v>157</v>
      </c>
      <c r="F58" s="496" t="s">
        <v>116</v>
      </c>
      <c r="G58" s="496" t="s">
        <v>111</v>
      </c>
      <c r="H58" s="499">
        <f t="shared" si="3"/>
        <v>2400</v>
      </c>
      <c r="I58" s="501">
        <v>2400</v>
      </c>
      <c r="J58" s="501"/>
      <c r="K58" s="502" t="s">
        <v>76</v>
      </c>
      <c r="L58" s="502" t="s">
        <v>76</v>
      </c>
      <c r="M58" s="502" t="s">
        <v>76</v>
      </c>
      <c r="N58" s="502" t="s">
        <v>76</v>
      </c>
      <c r="O58" s="6" t="s">
        <v>76</v>
      </c>
    </row>
    <row r="59" spans="1:15" s="25" customFormat="1" ht="12.75">
      <c r="A59" s="81" t="s">
        <v>6</v>
      </c>
      <c r="B59" s="9"/>
      <c r="C59" s="6" t="s">
        <v>18</v>
      </c>
      <c r="D59" s="14">
        <v>14130030000000000</v>
      </c>
      <c r="E59" s="6" t="s">
        <v>108</v>
      </c>
      <c r="F59" s="6" t="s">
        <v>112</v>
      </c>
      <c r="G59" s="6" t="s">
        <v>113</v>
      </c>
      <c r="H59" s="126">
        <f t="shared" si="3"/>
        <v>3855000</v>
      </c>
      <c r="I59" s="78">
        <v>3855000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 t="s">
        <v>76</v>
      </c>
    </row>
    <row r="60" spans="1:15" s="25" customFormat="1" ht="12.75" hidden="1">
      <c r="A60" s="86"/>
      <c r="B60" s="12"/>
      <c r="C60" s="60"/>
      <c r="D60" s="30">
        <v>14130030000000000</v>
      </c>
      <c r="E60" s="29"/>
      <c r="F60" s="31"/>
      <c r="G60" s="31"/>
      <c r="H60" s="126">
        <f t="shared" si="3"/>
        <v>0</v>
      </c>
      <c r="I60" s="78"/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3.5" customHeight="1">
      <c r="A61" s="691" t="s">
        <v>7</v>
      </c>
      <c r="B61" s="9"/>
      <c r="C61" s="693" t="s">
        <v>18</v>
      </c>
      <c r="D61" s="9" t="s">
        <v>81</v>
      </c>
      <c r="E61" s="9" t="s">
        <v>108</v>
      </c>
      <c r="F61" s="693" t="s">
        <v>114</v>
      </c>
      <c r="G61" s="9" t="s">
        <v>115</v>
      </c>
      <c r="H61" s="126">
        <f t="shared" si="3"/>
        <v>32600</v>
      </c>
      <c r="I61" s="113">
        <v>32600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 t="s">
        <v>115</v>
      </c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>
      <c r="A66" s="692"/>
      <c r="B66" s="9"/>
      <c r="C66" s="694"/>
      <c r="D66" s="14">
        <v>14130030000000000</v>
      </c>
      <c r="E66" s="9" t="s">
        <v>108</v>
      </c>
      <c r="F66" s="694"/>
      <c r="G66" s="9" t="s">
        <v>115</v>
      </c>
      <c r="H66" s="126">
        <f t="shared" si="3"/>
        <v>50155</v>
      </c>
      <c r="I66" s="106">
        <f>30000+20155</f>
        <v>50155</v>
      </c>
      <c r="J66" s="78"/>
      <c r="K66" s="107" t="s">
        <v>76</v>
      </c>
      <c r="L66" s="107"/>
      <c r="M66" s="107"/>
      <c r="N66" s="107" t="s">
        <v>76</v>
      </c>
      <c r="O66" s="6"/>
    </row>
    <row r="67" spans="1:15" s="25" customFormat="1" ht="12.75" customHeight="1">
      <c r="A67" s="16" t="s">
        <v>8</v>
      </c>
      <c r="B67" s="9"/>
      <c r="C67" s="6" t="s">
        <v>18</v>
      </c>
      <c r="D67" s="9" t="s">
        <v>81</v>
      </c>
      <c r="E67" s="10" t="s">
        <v>108</v>
      </c>
      <c r="F67" s="11" t="s">
        <v>128</v>
      </c>
      <c r="G67" s="10" t="s">
        <v>115</v>
      </c>
      <c r="H67" s="126">
        <f t="shared" si="3"/>
        <v>102000</v>
      </c>
      <c r="I67" s="113">
        <v>102000</v>
      </c>
      <c r="J67" s="78"/>
      <c r="K67" s="107" t="s">
        <v>76</v>
      </c>
      <c r="L67" s="107"/>
      <c r="M67" s="107"/>
      <c r="N67" s="107" t="s">
        <v>76</v>
      </c>
      <c r="O67" s="6"/>
    </row>
    <row r="68" spans="1:15" s="25" customFormat="1" ht="12.75">
      <c r="A68" s="684" t="s">
        <v>12</v>
      </c>
      <c r="B68" s="9"/>
      <c r="C68" s="693" t="s">
        <v>18</v>
      </c>
      <c r="D68" s="9" t="s">
        <v>81</v>
      </c>
      <c r="E68" s="693" t="s">
        <v>108</v>
      </c>
      <c r="F68" s="693" t="s">
        <v>116</v>
      </c>
      <c r="G68" s="693" t="s">
        <v>115</v>
      </c>
      <c r="H68" s="126">
        <f t="shared" si="3"/>
        <v>250700</v>
      </c>
      <c r="I68" s="113">
        <f>216300+56000-21600</f>
        <v>250700</v>
      </c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>
      <c r="A69" s="686"/>
      <c r="B69" s="9"/>
      <c r="C69" s="694"/>
      <c r="D69" s="14">
        <v>14130030000000000</v>
      </c>
      <c r="E69" s="694"/>
      <c r="F69" s="694"/>
      <c r="G69" s="694"/>
      <c r="H69" s="126">
        <f t="shared" si="3"/>
        <v>0</v>
      </c>
      <c r="I69" s="79"/>
      <c r="J69" s="78"/>
      <c r="K69" s="107" t="s">
        <v>76</v>
      </c>
      <c r="L69" s="107" t="s">
        <v>76</v>
      </c>
      <c r="M69" s="107" t="s">
        <v>76</v>
      </c>
      <c r="N69" s="107" t="s">
        <v>76</v>
      </c>
      <c r="O69" s="6"/>
    </row>
    <row r="70" spans="1:15" s="25" customFormat="1" ht="12.75">
      <c r="A70" s="22" t="s">
        <v>13</v>
      </c>
      <c r="B70" s="9"/>
      <c r="C70" s="9"/>
      <c r="D70" s="15"/>
      <c r="E70" s="9"/>
      <c r="F70" s="9" t="s">
        <v>117</v>
      </c>
      <c r="G70" s="9" t="s">
        <v>115</v>
      </c>
      <c r="H70" s="126">
        <f t="shared" si="3"/>
        <v>0</v>
      </c>
      <c r="I70" s="78"/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22" t="s">
        <v>427</v>
      </c>
      <c r="B71" s="9"/>
      <c r="C71" s="6" t="s">
        <v>18</v>
      </c>
      <c r="D71" s="9" t="s">
        <v>81</v>
      </c>
      <c r="E71" s="471" t="s">
        <v>232</v>
      </c>
      <c r="F71" s="9" t="s">
        <v>116</v>
      </c>
      <c r="G71" s="10" t="s">
        <v>115</v>
      </c>
      <c r="H71" s="126">
        <f t="shared" si="3"/>
        <v>21600</v>
      </c>
      <c r="I71" s="78">
        <v>21600</v>
      </c>
      <c r="J71" s="78"/>
      <c r="K71" s="107"/>
      <c r="L71" s="107"/>
      <c r="M71" s="107"/>
      <c r="N71" s="107"/>
      <c r="O71" s="6"/>
    </row>
    <row r="72" spans="1:15" s="25" customFormat="1" ht="25.5">
      <c r="A72" s="22" t="s">
        <v>245</v>
      </c>
      <c r="B72" s="9"/>
      <c r="C72" s="9" t="s">
        <v>18</v>
      </c>
      <c r="D72" s="14">
        <v>14130010000000000</v>
      </c>
      <c r="E72" s="9" t="s">
        <v>108</v>
      </c>
      <c r="F72" s="9" t="s">
        <v>246</v>
      </c>
      <c r="G72" s="10" t="s">
        <v>109</v>
      </c>
      <c r="H72" s="126">
        <f t="shared" si="3"/>
        <v>35904</v>
      </c>
      <c r="I72" s="78">
        <f>25500+10404</f>
        <v>35904</v>
      </c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495" t="s">
        <v>14</v>
      </c>
      <c r="B73" s="496"/>
      <c r="C73" s="496" t="s">
        <v>18</v>
      </c>
      <c r="D73" s="497">
        <v>14130030000000000</v>
      </c>
      <c r="E73" s="757" t="s">
        <v>108</v>
      </c>
      <c r="F73" s="496" t="s">
        <v>118</v>
      </c>
      <c r="G73" s="496" t="s">
        <v>115</v>
      </c>
      <c r="H73" s="499">
        <f t="shared" si="3"/>
        <v>639045</v>
      </c>
      <c r="I73" s="500">
        <f>641445-2400</f>
        <v>639045</v>
      </c>
      <c r="J73" s="501"/>
      <c r="K73" s="502" t="s">
        <v>76</v>
      </c>
      <c r="L73" s="502" t="s">
        <v>76</v>
      </c>
      <c r="M73" s="502" t="s">
        <v>76</v>
      </c>
      <c r="N73" s="502" t="s">
        <v>76</v>
      </c>
      <c r="O73" s="6" t="s">
        <v>76</v>
      </c>
    </row>
    <row r="74" spans="1:15" s="25" customFormat="1" ht="51" hidden="1">
      <c r="A74" s="503" t="s">
        <v>237</v>
      </c>
      <c r="B74" s="496"/>
      <c r="C74" s="504" t="s">
        <v>18</v>
      </c>
      <c r="D74" s="496" t="s">
        <v>81</v>
      </c>
      <c r="E74" s="757"/>
      <c r="F74" s="505" t="s">
        <v>238</v>
      </c>
      <c r="G74" s="505" t="s">
        <v>115</v>
      </c>
      <c r="H74" s="499">
        <f t="shared" si="3"/>
        <v>0</v>
      </c>
      <c r="I74" s="506"/>
      <c r="J74" s="501"/>
      <c r="K74" s="502" t="s">
        <v>76</v>
      </c>
      <c r="L74" s="502" t="s">
        <v>76</v>
      </c>
      <c r="M74" s="502" t="s">
        <v>76</v>
      </c>
      <c r="N74" s="502" t="s">
        <v>76</v>
      </c>
      <c r="O74" s="6"/>
    </row>
    <row r="75" spans="1:15" s="25" customFormat="1" ht="38.25">
      <c r="A75" s="82" t="s">
        <v>239</v>
      </c>
      <c r="B75" s="9"/>
      <c r="C75" s="83" t="s">
        <v>18</v>
      </c>
      <c r="D75" s="9" t="s">
        <v>81</v>
      </c>
      <c r="E75" s="83" t="s">
        <v>108</v>
      </c>
      <c r="F75" s="84" t="s">
        <v>240</v>
      </c>
      <c r="G75" s="84" t="s">
        <v>115</v>
      </c>
      <c r="H75" s="126">
        <f t="shared" si="3"/>
        <v>1400</v>
      </c>
      <c r="I75" s="106">
        <v>1400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22" t="s">
        <v>241</v>
      </c>
      <c r="B76" s="9"/>
      <c r="C76" s="9" t="s">
        <v>18</v>
      </c>
      <c r="D76" s="14">
        <v>14130030000000000</v>
      </c>
      <c r="E76" s="10" t="s">
        <v>108</v>
      </c>
      <c r="F76" s="9" t="s">
        <v>242</v>
      </c>
      <c r="G76" s="9" t="s">
        <v>115</v>
      </c>
      <c r="H76" s="126">
        <f t="shared" si="3"/>
        <v>40000</v>
      </c>
      <c r="I76" s="376">
        <f>20000+20000</f>
        <v>40000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25.5">
      <c r="A77" s="394" t="s">
        <v>243</v>
      </c>
      <c r="B77" s="6"/>
      <c r="C77" s="6" t="s">
        <v>18</v>
      </c>
      <c r="D77" s="395">
        <v>14130030000000000</v>
      </c>
      <c r="E77" s="6" t="s">
        <v>108</v>
      </c>
      <c r="F77" s="6" t="s">
        <v>244</v>
      </c>
      <c r="G77" s="6" t="s">
        <v>115</v>
      </c>
      <c r="H77" s="126">
        <f t="shared" si="3"/>
        <v>0</v>
      </c>
      <c r="I77" s="376">
        <f>20000-20000</f>
        <v>0</v>
      </c>
      <c r="J77" s="107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12.75" hidden="1">
      <c r="A78" s="691" t="s">
        <v>188</v>
      </c>
      <c r="B78" s="9"/>
      <c r="C78" s="693" t="s">
        <v>18</v>
      </c>
      <c r="D78" s="9" t="s">
        <v>81</v>
      </c>
      <c r="E78" s="693" t="s">
        <v>108</v>
      </c>
      <c r="F78" s="693" t="s">
        <v>119</v>
      </c>
      <c r="G78" s="693" t="s">
        <v>115</v>
      </c>
      <c r="H78" s="126">
        <f t="shared" si="3"/>
        <v>0</v>
      </c>
      <c r="I78" s="78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/>
    </row>
    <row r="79" spans="1:15" s="25" customFormat="1" ht="12.75" hidden="1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0</v>
      </c>
      <c r="I79" s="79"/>
      <c r="J79" s="100"/>
      <c r="K79" s="101" t="s">
        <v>76</v>
      </c>
      <c r="L79" s="101" t="s">
        <v>76</v>
      </c>
      <c r="M79" s="101" t="s">
        <v>76</v>
      </c>
      <c r="N79" s="101" t="s">
        <v>76</v>
      </c>
      <c r="O79" s="6" t="s">
        <v>76</v>
      </c>
    </row>
    <row r="80" spans="1:15" s="25" customFormat="1" ht="27.75" customHeight="1">
      <c r="A80" s="681" t="s">
        <v>189</v>
      </c>
      <c r="B80" s="683"/>
      <c r="C80" s="27" t="s">
        <v>20</v>
      </c>
      <c r="D80" s="3"/>
      <c r="E80" s="27"/>
      <c r="F80" s="3"/>
      <c r="G80" s="3"/>
      <c r="H80" s="124">
        <f t="shared" si="3"/>
        <v>3949039</v>
      </c>
      <c r="I80" s="97">
        <f>SUM(I81:I97)</f>
        <v>3949039</v>
      </c>
      <c r="J80" s="110"/>
      <c r="K80" s="111" t="s">
        <v>107</v>
      </c>
      <c r="L80" s="111"/>
      <c r="M80" s="111"/>
      <c r="N80" s="111" t="s">
        <v>107</v>
      </c>
      <c r="O80" s="28"/>
    </row>
    <row r="81" spans="1:15" s="25" customFormat="1" ht="15" customHeight="1">
      <c r="A81" s="22" t="s">
        <v>9</v>
      </c>
      <c r="B81" s="9"/>
      <c r="C81" s="9" t="s">
        <v>20</v>
      </c>
      <c r="D81" s="9" t="s">
        <v>81</v>
      </c>
      <c r="E81" s="9" t="s">
        <v>108</v>
      </c>
      <c r="F81" s="9" t="s">
        <v>120</v>
      </c>
      <c r="G81" s="9" t="s">
        <v>115</v>
      </c>
      <c r="H81" s="126">
        <f t="shared" si="3"/>
        <v>934139</v>
      </c>
      <c r="I81" s="78">
        <f>1083500-149361</f>
        <v>934139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5" customHeight="1">
      <c r="A82" s="82" t="s">
        <v>8</v>
      </c>
      <c r="B82" s="9"/>
      <c r="C82" s="9" t="s">
        <v>20</v>
      </c>
      <c r="D82" s="9" t="s">
        <v>81</v>
      </c>
      <c r="E82" s="10" t="s">
        <v>108</v>
      </c>
      <c r="F82" s="10" t="s">
        <v>128</v>
      </c>
      <c r="G82" s="10" t="s">
        <v>115</v>
      </c>
      <c r="H82" s="126">
        <f t="shared" si="3"/>
        <v>17547.48</v>
      </c>
      <c r="I82" s="78">
        <v>17547.48</v>
      </c>
      <c r="J82" s="78"/>
      <c r="K82" s="107"/>
      <c r="L82" s="107"/>
      <c r="M82" s="107"/>
      <c r="N82" s="107"/>
      <c r="O82" s="6"/>
    </row>
    <row r="83" spans="1:15" s="25" customFormat="1" ht="15" customHeight="1">
      <c r="A83" s="691" t="s">
        <v>11</v>
      </c>
      <c r="B83" s="9"/>
      <c r="C83" s="693" t="s">
        <v>20</v>
      </c>
      <c r="D83" s="9" t="s">
        <v>81</v>
      </c>
      <c r="E83" s="693" t="s">
        <v>108</v>
      </c>
      <c r="F83" s="693" t="s">
        <v>121</v>
      </c>
      <c r="G83" s="693" t="s">
        <v>115</v>
      </c>
      <c r="H83" s="126">
        <f t="shared" si="3"/>
        <v>231900</v>
      </c>
      <c r="I83" s="112">
        <f>246900-15000</f>
        <v>231900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2020000</v>
      </c>
      <c r="I84" s="112">
        <v>2020000</v>
      </c>
      <c r="J84" s="362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691" t="s">
        <v>12</v>
      </c>
      <c r="B85" s="9"/>
      <c r="C85" s="693" t="s">
        <v>20</v>
      </c>
      <c r="D85" s="9" t="s">
        <v>81</v>
      </c>
      <c r="E85" s="693" t="s">
        <v>108</v>
      </c>
      <c r="F85" s="693" t="s">
        <v>116</v>
      </c>
      <c r="G85" s="693" t="s">
        <v>115</v>
      </c>
      <c r="H85" s="126">
        <f t="shared" si="3"/>
        <v>82352.52</v>
      </c>
      <c r="I85" s="78">
        <f>99900-17547.48</f>
        <v>82352.52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692"/>
      <c r="B86" s="9"/>
      <c r="C86" s="694"/>
      <c r="D86" s="14">
        <v>14130030000000000</v>
      </c>
      <c r="E86" s="694"/>
      <c r="F86" s="694"/>
      <c r="G86" s="694"/>
      <c r="H86" s="126">
        <f t="shared" si="3"/>
        <v>534800</v>
      </c>
      <c r="I86" s="115">
        <v>534800</v>
      </c>
      <c r="J86" s="78"/>
      <c r="K86" s="107" t="s">
        <v>76</v>
      </c>
      <c r="L86" s="107"/>
      <c r="M86" s="107"/>
      <c r="N86" s="107" t="s">
        <v>76</v>
      </c>
      <c r="O86" s="6"/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122</v>
      </c>
      <c r="H87" s="126">
        <f t="shared" si="3"/>
        <v>55400</v>
      </c>
      <c r="I87" s="78">
        <v>55400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22" t="s">
        <v>249</v>
      </c>
      <c r="B88" s="9"/>
      <c r="C88" s="9" t="s">
        <v>20</v>
      </c>
      <c r="D88" s="9" t="s">
        <v>81</v>
      </c>
      <c r="E88" s="9" t="s">
        <v>108</v>
      </c>
      <c r="F88" s="9" t="s">
        <v>206</v>
      </c>
      <c r="G88" s="9" t="s">
        <v>250</v>
      </c>
      <c r="H88" s="126">
        <f t="shared" si="3"/>
        <v>4800</v>
      </c>
      <c r="I88" s="79">
        <v>4800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 hidden="1">
      <c r="A89" s="22" t="s">
        <v>14</v>
      </c>
      <c r="B89" s="9"/>
      <c r="C89" s="9" t="s">
        <v>20</v>
      </c>
      <c r="D89" s="9" t="s">
        <v>81</v>
      </c>
      <c r="E89" s="9" t="s">
        <v>124</v>
      </c>
      <c r="F89" s="9" t="s">
        <v>118</v>
      </c>
      <c r="G89" s="9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51" hidden="1">
      <c r="A90" s="82" t="s">
        <v>237</v>
      </c>
      <c r="B90" s="9"/>
      <c r="C90" s="83" t="s">
        <v>18</v>
      </c>
      <c r="D90" s="9" t="s">
        <v>81</v>
      </c>
      <c r="E90" s="83" t="s">
        <v>124</v>
      </c>
      <c r="F90" s="84" t="s">
        <v>238</v>
      </c>
      <c r="G90" s="84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38.25" hidden="1">
      <c r="A91" s="82" t="s">
        <v>239</v>
      </c>
      <c r="B91" s="9"/>
      <c r="C91" s="83" t="s">
        <v>18</v>
      </c>
      <c r="D91" s="9" t="s">
        <v>81</v>
      </c>
      <c r="E91" s="83" t="s">
        <v>124</v>
      </c>
      <c r="F91" s="84" t="s">
        <v>240</v>
      </c>
      <c r="G91" s="84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85" t="s">
        <v>248</v>
      </c>
      <c r="B92" s="9"/>
      <c r="C92" s="9" t="s">
        <v>20</v>
      </c>
      <c r="D92" s="9" t="s">
        <v>81</v>
      </c>
      <c r="E92" s="83" t="s">
        <v>108</v>
      </c>
      <c r="F92" s="10" t="s">
        <v>247</v>
      </c>
      <c r="G92" s="84" t="s">
        <v>115</v>
      </c>
      <c r="H92" s="126">
        <f t="shared" si="3"/>
        <v>20000</v>
      </c>
      <c r="I92" s="78">
        <f>10000+10000+15000-15000</f>
        <v>20000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>
      <c r="A93" s="22" t="s">
        <v>241</v>
      </c>
      <c r="B93" s="9"/>
      <c r="C93" s="9" t="s">
        <v>20</v>
      </c>
      <c r="D93" s="9" t="s">
        <v>81</v>
      </c>
      <c r="E93" s="9" t="s">
        <v>108</v>
      </c>
      <c r="F93" s="9" t="s">
        <v>242</v>
      </c>
      <c r="G93" s="9" t="s">
        <v>115</v>
      </c>
      <c r="H93" s="126">
        <f t="shared" si="3"/>
        <v>48100</v>
      </c>
      <c r="I93" s="78">
        <f>33100+15000</f>
        <v>48100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25.5" hidden="1">
      <c r="A94" s="85" t="s">
        <v>243</v>
      </c>
      <c r="B94" s="57"/>
      <c r="C94" s="9" t="s">
        <v>20</v>
      </c>
      <c r="D94" s="9" t="s">
        <v>81</v>
      </c>
      <c r="E94" s="9" t="s">
        <v>108</v>
      </c>
      <c r="F94" s="9" t="s">
        <v>244</v>
      </c>
      <c r="G94" s="9" t="s">
        <v>115</v>
      </c>
      <c r="H94" s="126">
        <f t="shared" si="3"/>
        <v>0</v>
      </c>
      <c r="I94" s="78">
        <f>10000-10000</f>
        <v>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/>
      <c r="B96" s="9"/>
      <c r="C96" s="9"/>
      <c r="D96" s="9"/>
      <c r="E96" s="9"/>
      <c r="F96" s="9"/>
      <c r="G96" s="9"/>
      <c r="H96" s="126"/>
      <c r="I96" s="78"/>
      <c r="J96" s="78"/>
      <c r="K96" s="107"/>
      <c r="L96" s="107"/>
      <c r="M96" s="107"/>
      <c r="N96" s="107"/>
      <c r="O96" s="6"/>
    </row>
    <row r="97" spans="1:15" s="25" customFormat="1" ht="12.75" hidden="1">
      <c r="A97" s="22" t="s">
        <v>188</v>
      </c>
      <c r="B97" s="9"/>
      <c r="C97" s="9" t="s">
        <v>20</v>
      </c>
      <c r="D97" s="9" t="s">
        <v>81</v>
      </c>
      <c r="E97" s="9" t="s">
        <v>108</v>
      </c>
      <c r="F97" s="9" t="s">
        <v>119</v>
      </c>
      <c r="G97" s="9" t="s">
        <v>115</v>
      </c>
      <c r="H97" s="126">
        <f>I97</f>
        <v>0</v>
      </c>
      <c r="I97" s="78"/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3.5">
      <c r="A98" s="681" t="s">
        <v>125</v>
      </c>
      <c r="B98" s="683"/>
      <c r="C98" s="27" t="s">
        <v>21</v>
      </c>
      <c r="D98" s="3"/>
      <c r="E98" s="27"/>
      <c r="F98" s="3"/>
      <c r="G98" s="3"/>
      <c r="H98" s="124">
        <f>K98</f>
        <v>653340</v>
      </c>
      <c r="I98" s="98"/>
      <c r="J98" s="97"/>
      <c r="K98" s="97">
        <f>K101</f>
        <v>653340</v>
      </c>
      <c r="L98" s="110"/>
      <c r="M98" s="110"/>
      <c r="N98" s="111" t="s">
        <v>107</v>
      </c>
      <c r="O98" s="28"/>
    </row>
    <row r="99" spans="1:15" s="25" customFormat="1" ht="12.75" hidden="1">
      <c r="A99" s="22" t="s">
        <v>4</v>
      </c>
      <c r="B99" s="9"/>
      <c r="C99" s="9"/>
      <c r="D99" s="9"/>
      <c r="E99" s="9"/>
      <c r="F99" s="9" t="s">
        <v>99</v>
      </c>
      <c r="G99" s="9" t="s">
        <v>109</v>
      </c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2.75" hidden="1">
      <c r="A100" s="22" t="s">
        <v>5</v>
      </c>
      <c r="B100" s="9"/>
      <c r="C100" s="9"/>
      <c r="D100" s="9"/>
      <c r="E100" s="9"/>
      <c r="F100" s="9"/>
      <c r="G100" s="9"/>
      <c r="H100" s="126">
        <f>I100</f>
        <v>0</v>
      </c>
      <c r="I100" s="78"/>
      <c r="J100" s="78"/>
      <c r="K100" s="116" t="s">
        <v>76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3.5">
      <c r="A101" s="22" t="s">
        <v>12</v>
      </c>
      <c r="B101" s="9"/>
      <c r="C101" s="41" t="s">
        <v>21</v>
      </c>
      <c r="D101" s="9" t="s">
        <v>89</v>
      </c>
      <c r="E101" s="9" t="s">
        <v>126</v>
      </c>
      <c r="F101" s="9" t="s">
        <v>116</v>
      </c>
      <c r="G101" s="9" t="s">
        <v>115</v>
      </c>
      <c r="H101" s="126">
        <f aca="true" t="shared" si="4" ref="H101:H116">K101</f>
        <v>653340</v>
      </c>
      <c r="I101" s="107" t="s">
        <v>76</v>
      </c>
      <c r="J101" s="78"/>
      <c r="K101" s="391">
        <f>676900-23560</f>
        <v>653340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8.75" customHeight="1" hidden="1">
      <c r="A102" s="687" t="s">
        <v>127</v>
      </c>
      <c r="B102" s="688"/>
      <c r="C102" s="27" t="s">
        <v>22</v>
      </c>
      <c r="D102" s="3"/>
      <c r="E102" s="3"/>
      <c r="F102" s="3"/>
      <c r="G102" s="3"/>
      <c r="H102" s="131">
        <f t="shared" si="4"/>
        <v>0</v>
      </c>
      <c r="I102" s="117"/>
      <c r="J102" s="110"/>
      <c r="K102" s="118">
        <f>K103</f>
        <v>0</v>
      </c>
      <c r="L102" s="117"/>
      <c r="M102" s="117"/>
      <c r="N102" s="117"/>
      <c r="O102" s="6"/>
    </row>
    <row r="103" spans="1:15" s="25" customFormat="1" ht="13.5" customHeight="1" hidden="1">
      <c r="A103" s="22" t="s">
        <v>12</v>
      </c>
      <c r="B103" s="40"/>
      <c r="C103" s="41" t="s">
        <v>22</v>
      </c>
      <c r="D103" s="9" t="s">
        <v>81</v>
      </c>
      <c r="E103" s="9" t="s">
        <v>108</v>
      </c>
      <c r="F103" s="9" t="s">
        <v>116</v>
      </c>
      <c r="G103" s="9" t="s">
        <v>115</v>
      </c>
      <c r="H103" s="126">
        <f t="shared" si="4"/>
        <v>0</v>
      </c>
      <c r="I103" s="107" t="s">
        <v>76</v>
      </c>
      <c r="J103" s="78"/>
      <c r="K103" s="116"/>
      <c r="L103" s="107"/>
      <c r="M103" s="107"/>
      <c r="N103" s="107" t="s">
        <v>76</v>
      </c>
      <c r="O103" s="6"/>
    </row>
    <row r="104" spans="1:15" s="25" customFormat="1" ht="28.5" customHeight="1">
      <c r="A104" s="39" t="s">
        <v>190</v>
      </c>
      <c r="B104" s="55"/>
      <c r="C104" s="27" t="s">
        <v>41</v>
      </c>
      <c r="D104" s="3"/>
      <c r="E104" s="3"/>
      <c r="F104" s="3"/>
      <c r="G104" s="3"/>
      <c r="H104" s="124">
        <f t="shared" si="4"/>
        <v>24000</v>
      </c>
      <c r="I104" s="119"/>
      <c r="J104" s="97"/>
      <c r="K104" s="120">
        <f>K105</f>
        <v>24000</v>
      </c>
      <c r="L104" s="117"/>
      <c r="M104" s="117"/>
      <c r="N104" s="117"/>
      <c r="O104" s="6"/>
    </row>
    <row r="105" spans="1:15" s="25" customFormat="1" ht="12.75">
      <c r="A105" s="22" t="s">
        <v>12</v>
      </c>
      <c r="B105" s="40"/>
      <c r="C105" s="9" t="s">
        <v>41</v>
      </c>
      <c r="D105" s="9" t="s">
        <v>81</v>
      </c>
      <c r="E105" s="9" t="s">
        <v>154</v>
      </c>
      <c r="F105" s="9" t="s">
        <v>116</v>
      </c>
      <c r="G105" s="9" t="s">
        <v>115</v>
      </c>
      <c r="H105" s="126">
        <f t="shared" si="4"/>
        <v>24000</v>
      </c>
      <c r="I105" s="107" t="s">
        <v>76</v>
      </c>
      <c r="J105" s="78"/>
      <c r="K105" s="116">
        <v>24000</v>
      </c>
      <c r="L105" s="107"/>
      <c r="M105" s="107"/>
      <c r="N105" s="107" t="s">
        <v>76</v>
      </c>
      <c r="O105" s="6"/>
    </row>
    <row r="106" spans="1:15" s="25" customFormat="1" ht="36" customHeight="1">
      <c r="A106" s="681" t="s">
        <v>374</v>
      </c>
      <c r="B106" s="683"/>
      <c r="C106" s="27" t="s">
        <v>373</v>
      </c>
      <c r="D106" s="3"/>
      <c r="E106" s="3"/>
      <c r="F106" s="3"/>
      <c r="G106" s="3"/>
      <c r="H106" s="435">
        <f t="shared" si="4"/>
        <v>60000</v>
      </c>
      <c r="I106" s="436" t="s">
        <v>76</v>
      </c>
      <c r="J106" s="437"/>
      <c r="K106" s="435">
        <f>SUM(K107:K110)</f>
        <v>60000</v>
      </c>
      <c r="L106" s="435">
        <f>SUM(L107:L110)</f>
        <v>0</v>
      </c>
      <c r="M106" s="435">
        <f>SUM(M107:M110)</f>
        <v>0</v>
      </c>
      <c r="N106" s="435"/>
      <c r="O106" s="6"/>
    </row>
    <row r="107" spans="1:15" s="25" customFormat="1" ht="12.75">
      <c r="A107" s="8" t="s">
        <v>335</v>
      </c>
      <c r="B107" s="40"/>
      <c r="C107" s="60" t="s">
        <v>373</v>
      </c>
      <c r="D107" s="434" t="s">
        <v>332</v>
      </c>
      <c r="E107" s="9" t="s">
        <v>108</v>
      </c>
      <c r="F107" s="9" t="s">
        <v>116</v>
      </c>
      <c r="G107" s="9" t="s">
        <v>115</v>
      </c>
      <c r="H107" s="433">
        <f t="shared" si="4"/>
        <v>43200</v>
      </c>
      <c r="I107" s="107"/>
      <c r="J107" s="78"/>
      <c r="K107" s="116">
        <v>43200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214</v>
      </c>
      <c r="E108" s="9" t="s">
        <v>108</v>
      </c>
      <c r="F108" s="9" t="s">
        <v>116</v>
      </c>
      <c r="G108" s="9" t="s">
        <v>115</v>
      </c>
      <c r="H108" s="433">
        <f t="shared" si="4"/>
        <v>4800</v>
      </c>
      <c r="I108" s="107"/>
      <c r="J108" s="78"/>
      <c r="K108" s="116">
        <v>4800</v>
      </c>
      <c r="L108" s="107"/>
      <c r="M108" s="107"/>
      <c r="N108" s="107"/>
      <c r="O108" s="6"/>
    </row>
    <row r="109" spans="1:15" s="25" customFormat="1" ht="12.75">
      <c r="A109" s="8" t="s">
        <v>336</v>
      </c>
      <c r="B109" s="40"/>
      <c r="C109" s="60" t="s">
        <v>373</v>
      </c>
      <c r="D109" s="434" t="s">
        <v>333</v>
      </c>
      <c r="E109" s="9" t="s">
        <v>108</v>
      </c>
      <c r="F109" s="9" t="s">
        <v>116</v>
      </c>
      <c r="G109" s="9" t="s">
        <v>115</v>
      </c>
      <c r="H109" s="433">
        <f t="shared" si="4"/>
        <v>10800</v>
      </c>
      <c r="I109" s="107"/>
      <c r="J109" s="78"/>
      <c r="K109" s="116">
        <v>10800</v>
      </c>
      <c r="L109" s="107"/>
      <c r="M109" s="107"/>
      <c r="N109" s="107"/>
      <c r="O109" s="6"/>
    </row>
    <row r="110" spans="1:15" s="25" customFormat="1" ht="12.75">
      <c r="A110" s="8" t="s">
        <v>337</v>
      </c>
      <c r="B110" s="40"/>
      <c r="C110" s="60" t="s">
        <v>373</v>
      </c>
      <c r="D110" s="434" t="s">
        <v>216</v>
      </c>
      <c r="E110" s="9" t="s">
        <v>108</v>
      </c>
      <c r="F110" s="9" t="s">
        <v>116</v>
      </c>
      <c r="G110" s="9" t="s">
        <v>115</v>
      </c>
      <c r="H110" s="433">
        <f t="shared" si="4"/>
        <v>1200</v>
      </c>
      <c r="I110" s="107"/>
      <c r="J110" s="78"/>
      <c r="K110" s="116">
        <v>1200</v>
      </c>
      <c r="L110" s="107"/>
      <c r="M110" s="107"/>
      <c r="N110" s="107"/>
      <c r="O110" s="6"/>
    </row>
    <row r="111" spans="1:15" s="25" customFormat="1" ht="41.25" customHeight="1">
      <c r="A111" s="681" t="s">
        <v>334</v>
      </c>
      <c r="B111" s="683"/>
      <c r="C111" s="27" t="s">
        <v>211</v>
      </c>
      <c r="D111" s="3"/>
      <c r="E111" s="3"/>
      <c r="F111" s="3"/>
      <c r="G111" s="3"/>
      <c r="H111" s="124">
        <f t="shared" si="4"/>
        <v>80000</v>
      </c>
      <c r="I111" s="117" t="s">
        <v>76</v>
      </c>
      <c r="J111" s="110"/>
      <c r="K111" s="97">
        <f>SUM(K112:K116)</f>
        <v>80000</v>
      </c>
      <c r="L111" s="117"/>
      <c r="M111" s="117"/>
      <c r="N111" s="117" t="s">
        <v>76</v>
      </c>
      <c r="O111" s="6"/>
    </row>
    <row r="112" spans="1:15" s="25" customFormat="1" ht="12.75">
      <c r="A112" s="22" t="s">
        <v>12</v>
      </c>
      <c r="B112" s="57"/>
      <c r="C112" s="9" t="s">
        <v>204</v>
      </c>
      <c r="D112" s="9" t="s">
        <v>81</v>
      </c>
      <c r="E112" s="9" t="s">
        <v>108</v>
      </c>
      <c r="F112" s="9" t="s">
        <v>116</v>
      </c>
      <c r="G112" s="9" t="s">
        <v>115</v>
      </c>
      <c r="H112" s="126">
        <f t="shared" si="4"/>
        <v>80000</v>
      </c>
      <c r="I112" s="107" t="s">
        <v>76</v>
      </c>
      <c r="J112" s="107"/>
      <c r="K112" s="116">
        <v>80000</v>
      </c>
      <c r="L112" s="107"/>
      <c r="M112" s="107"/>
      <c r="N112" s="107" t="s">
        <v>76</v>
      </c>
      <c r="O112" s="6"/>
    </row>
    <row r="113" spans="1:15" s="25" customFormat="1" ht="12.75">
      <c r="A113" s="8" t="s">
        <v>335</v>
      </c>
      <c r="B113" s="9"/>
      <c r="C113" s="9" t="s">
        <v>211</v>
      </c>
      <c r="D113" s="393" t="s">
        <v>332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109"/>
      <c r="L113" s="107"/>
      <c r="M113" s="107"/>
      <c r="N113" s="107" t="s">
        <v>76</v>
      </c>
      <c r="O113" s="64" t="s">
        <v>76</v>
      </c>
    </row>
    <row r="114" spans="1:15" s="25" customFormat="1" ht="12.75">
      <c r="A114" s="8" t="s">
        <v>336</v>
      </c>
      <c r="B114" s="9"/>
      <c r="C114" s="9" t="s">
        <v>211</v>
      </c>
      <c r="D114" s="393" t="s">
        <v>214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336</v>
      </c>
      <c r="B115" s="9"/>
      <c r="C115" s="9" t="s">
        <v>211</v>
      </c>
      <c r="D115" s="393" t="s">
        <v>333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12.75">
      <c r="A116" s="8" t="s">
        <v>337</v>
      </c>
      <c r="B116" s="9"/>
      <c r="C116" s="9" t="s">
        <v>211</v>
      </c>
      <c r="D116" s="393" t="s">
        <v>216</v>
      </c>
      <c r="E116" s="9" t="s">
        <v>108</v>
      </c>
      <c r="F116" s="9" t="s">
        <v>116</v>
      </c>
      <c r="G116" s="9" t="s">
        <v>115</v>
      </c>
      <c r="H116" s="126">
        <f t="shared" si="4"/>
        <v>0</v>
      </c>
      <c r="I116" s="107" t="s">
        <v>76</v>
      </c>
      <c r="J116" s="78"/>
      <c r="K116" s="78"/>
      <c r="L116" s="107"/>
      <c r="M116" s="107"/>
      <c r="N116" s="107" t="s">
        <v>76</v>
      </c>
      <c r="O116" s="6"/>
    </row>
    <row r="117" spans="1:15" s="25" customFormat="1" ht="41.25" customHeight="1">
      <c r="A117" s="681" t="s">
        <v>360</v>
      </c>
      <c r="B117" s="683"/>
      <c r="C117" s="27" t="s">
        <v>51</v>
      </c>
      <c r="D117" s="43"/>
      <c r="E117" s="42"/>
      <c r="F117" s="42"/>
      <c r="G117" s="42"/>
      <c r="H117" s="124"/>
      <c r="I117" s="119"/>
      <c r="J117" s="97"/>
      <c r="K117" s="120">
        <f>SUM(K119:K127)</f>
        <v>411025.7</v>
      </c>
      <c r="L117" s="119"/>
      <c r="M117" s="119"/>
      <c r="N117" s="119"/>
      <c r="O117" s="6"/>
    </row>
    <row r="118" spans="1:15" s="25" customFormat="1" ht="12.75" hidden="1">
      <c r="A118" s="61" t="s">
        <v>11</v>
      </c>
      <c r="B118" s="59"/>
      <c r="C118" s="59" t="s">
        <v>51</v>
      </c>
      <c r="D118" s="59" t="s">
        <v>81</v>
      </c>
      <c r="E118" s="59" t="s">
        <v>218</v>
      </c>
      <c r="F118" s="59" t="s">
        <v>121</v>
      </c>
      <c r="G118" s="59" t="s">
        <v>115</v>
      </c>
      <c r="H118" s="127">
        <f aca="true" t="shared" si="5" ref="H118:H127">K118</f>
        <v>0</v>
      </c>
      <c r="I118" s="101" t="s">
        <v>76</v>
      </c>
      <c r="J118" s="102"/>
      <c r="K118" s="104"/>
      <c r="L118" s="102"/>
      <c r="M118" s="100"/>
      <c r="N118" s="101" t="s">
        <v>76</v>
      </c>
      <c r="O118" s="6"/>
    </row>
    <row r="119" spans="1:15" s="25" customFormat="1" ht="12.75">
      <c r="A119" s="684" t="s">
        <v>12</v>
      </c>
      <c r="B119" s="9"/>
      <c r="C119" s="678" t="s">
        <v>51</v>
      </c>
      <c r="D119" s="9" t="s">
        <v>81</v>
      </c>
      <c r="E119" s="678" t="s">
        <v>218</v>
      </c>
      <c r="F119" s="678" t="s">
        <v>116</v>
      </c>
      <c r="G119" s="678" t="s">
        <v>115</v>
      </c>
      <c r="H119" s="126">
        <f t="shared" si="5"/>
        <v>201123.7</v>
      </c>
      <c r="I119" s="107" t="s">
        <v>76</v>
      </c>
      <c r="J119" s="107"/>
      <c r="K119" s="116">
        <f>195152.7+2985.5+2985.5</f>
        <v>201123.7</v>
      </c>
      <c r="L119" s="107"/>
      <c r="M119" s="107"/>
      <c r="N119" s="107" t="s">
        <v>76</v>
      </c>
      <c r="O119" s="6"/>
    </row>
    <row r="120" spans="1:15" s="25" customFormat="1" ht="12.75">
      <c r="A120" s="685"/>
      <c r="B120" s="9"/>
      <c r="C120" s="679"/>
      <c r="D120" s="9" t="s">
        <v>219</v>
      </c>
      <c r="E120" s="679"/>
      <c r="F120" s="679"/>
      <c r="G120" s="679"/>
      <c r="H120" s="126">
        <f t="shared" si="5"/>
        <v>188911.8</v>
      </c>
      <c r="I120" s="107" t="s">
        <v>76</v>
      </c>
      <c r="J120" s="107"/>
      <c r="K120" s="116">
        <f>148024.8+20443.5+20443.5</f>
        <v>188911.8</v>
      </c>
      <c r="L120" s="107"/>
      <c r="M120" s="107"/>
      <c r="N120" s="107" t="s">
        <v>76</v>
      </c>
      <c r="O120" s="6"/>
    </row>
    <row r="121" spans="1:15" s="25" customFormat="1" ht="12.75">
      <c r="A121" s="686"/>
      <c r="B121" s="9"/>
      <c r="C121" s="680"/>
      <c r="D121" s="9" t="s">
        <v>196</v>
      </c>
      <c r="E121" s="680"/>
      <c r="F121" s="680"/>
      <c r="G121" s="680"/>
      <c r="H121" s="126">
        <f t="shared" si="5"/>
        <v>12136.6</v>
      </c>
      <c r="I121" s="107"/>
      <c r="J121" s="107"/>
      <c r="K121" s="116">
        <f>7593.6+2271.5+2271.5</f>
        <v>12136.6</v>
      </c>
      <c r="L121" s="107"/>
      <c r="M121" s="107"/>
      <c r="N121" s="107" t="s">
        <v>76</v>
      </c>
      <c r="O121" s="6"/>
    </row>
    <row r="122" spans="1:15" s="25" customFormat="1" ht="12.75">
      <c r="A122" s="431" t="s">
        <v>362</v>
      </c>
      <c r="B122" s="9"/>
      <c r="C122" s="9" t="s">
        <v>51</v>
      </c>
      <c r="D122" s="9" t="s">
        <v>196</v>
      </c>
      <c r="E122" s="9" t="s">
        <v>218</v>
      </c>
      <c r="F122" s="9" t="s">
        <v>361</v>
      </c>
      <c r="G122" s="9" t="s">
        <v>115</v>
      </c>
      <c r="H122" s="126">
        <f t="shared" si="5"/>
        <v>2272.2</v>
      </c>
      <c r="I122" s="107"/>
      <c r="J122" s="107"/>
      <c r="K122" s="116">
        <v>2272.2</v>
      </c>
      <c r="L122" s="107"/>
      <c r="M122" s="107"/>
      <c r="N122" s="107" t="s">
        <v>76</v>
      </c>
      <c r="O122" s="6"/>
    </row>
    <row r="123" spans="1:15" s="25" customFormat="1" ht="39.75" customHeight="1">
      <c r="A123" s="431" t="s">
        <v>363</v>
      </c>
      <c r="B123" s="9"/>
      <c r="C123" s="9" t="s">
        <v>51</v>
      </c>
      <c r="D123" s="9" t="s">
        <v>196</v>
      </c>
      <c r="E123" s="9" t="s">
        <v>218</v>
      </c>
      <c r="F123" s="9" t="s">
        <v>240</v>
      </c>
      <c r="G123" s="9" t="s">
        <v>115</v>
      </c>
      <c r="H123" s="126">
        <f t="shared" si="5"/>
        <v>2625</v>
      </c>
      <c r="I123" s="107"/>
      <c r="J123" s="107"/>
      <c r="K123" s="116">
        <v>2625</v>
      </c>
      <c r="L123" s="107"/>
      <c r="M123" s="107"/>
      <c r="N123" s="107" t="s">
        <v>76</v>
      </c>
      <c r="O123" s="6"/>
    </row>
    <row r="124" spans="1:15" s="25" customFormat="1" ht="28.5" customHeight="1">
      <c r="A124" s="431" t="s">
        <v>364</v>
      </c>
      <c r="B124" s="9"/>
      <c r="C124" s="9" t="s">
        <v>51</v>
      </c>
      <c r="D124" s="9" t="s">
        <v>196</v>
      </c>
      <c r="E124" s="9" t="s">
        <v>218</v>
      </c>
      <c r="F124" s="9" t="s">
        <v>242</v>
      </c>
      <c r="G124" s="9" t="s">
        <v>115</v>
      </c>
      <c r="H124" s="126">
        <f t="shared" si="5"/>
        <v>3956.4</v>
      </c>
      <c r="I124" s="107"/>
      <c r="J124" s="107"/>
      <c r="K124" s="116">
        <v>3956.4</v>
      </c>
      <c r="L124" s="107"/>
      <c r="M124" s="107"/>
      <c r="N124" s="107" t="s">
        <v>76</v>
      </c>
      <c r="O124" s="6"/>
    </row>
    <row r="125" spans="1:15" s="25" customFormat="1" ht="12.75" hidden="1">
      <c r="A125" s="22" t="s">
        <v>359</v>
      </c>
      <c r="B125" s="9"/>
      <c r="C125" s="9" t="s">
        <v>51</v>
      </c>
      <c r="D125" s="9" t="s">
        <v>81</v>
      </c>
      <c r="E125" s="9" t="s">
        <v>218</v>
      </c>
      <c r="F125" s="9" t="s">
        <v>118</v>
      </c>
      <c r="G125" s="9" t="s">
        <v>115</v>
      </c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4" t="s">
        <v>221</v>
      </c>
      <c r="B126" s="9"/>
      <c r="C126" s="678" t="s">
        <v>51</v>
      </c>
      <c r="D126" s="9" t="s">
        <v>81</v>
      </c>
      <c r="E126" s="678" t="s">
        <v>218</v>
      </c>
      <c r="F126" s="678" t="s">
        <v>119</v>
      </c>
      <c r="G126" s="678" t="s">
        <v>115</v>
      </c>
      <c r="H126" s="126">
        <f t="shared" si="5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2.75" hidden="1">
      <c r="A127" s="686"/>
      <c r="B127" s="9"/>
      <c r="C127" s="680"/>
      <c r="D127" s="9" t="s">
        <v>196</v>
      </c>
      <c r="E127" s="680"/>
      <c r="F127" s="680"/>
      <c r="G127" s="680"/>
      <c r="H127" s="126">
        <f t="shared" si="5"/>
        <v>0</v>
      </c>
      <c r="I127" s="107" t="s">
        <v>76</v>
      </c>
      <c r="J127" s="107"/>
      <c r="K127" s="116"/>
      <c r="L127" s="101"/>
      <c r="M127" s="101"/>
      <c r="N127" s="101" t="s">
        <v>76</v>
      </c>
      <c r="O127" s="6"/>
    </row>
    <row r="128" spans="1:15" s="25" customFormat="1" ht="15" customHeight="1">
      <c r="A128" s="681" t="s">
        <v>210</v>
      </c>
      <c r="B128" s="683"/>
      <c r="C128" s="27" t="s">
        <v>163</v>
      </c>
      <c r="D128" s="44"/>
      <c r="E128" s="3"/>
      <c r="F128" s="3"/>
      <c r="G128" s="3"/>
      <c r="H128" s="131"/>
      <c r="I128" s="117"/>
      <c r="J128" s="110"/>
      <c r="K128" s="120">
        <f>K129+K130</f>
        <v>950000</v>
      </c>
      <c r="L128" s="117"/>
      <c r="M128" s="117"/>
      <c r="N128" s="117"/>
      <c r="O128" s="6"/>
    </row>
    <row r="129" spans="1:15" s="25" customFormat="1" ht="15.75" customHeight="1">
      <c r="A129" s="22" t="s">
        <v>11</v>
      </c>
      <c r="B129" s="40"/>
      <c r="C129" s="41" t="s">
        <v>163</v>
      </c>
      <c r="D129" s="6" t="s">
        <v>162</v>
      </c>
      <c r="E129" s="9" t="s">
        <v>157</v>
      </c>
      <c r="F129" s="46">
        <v>225</v>
      </c>
      <c r="G129" s="9" t="s">
        <v>115</v>
      </c>
      <c r="H129" s="129" t="s">
        <v>76</v>
      </c>
      <c r="I129" s="107" t="s">
        <v>76</v>
      </c>
      <c r="J129" s="78"/>
      <c r="K129" s="116">
        <v>950000</v>
      </c>
      <c r="L129" s="107"/>
      <c r="M129" s="107"/>
      <c r="N129" s="107" t="s">
        <v>76</v>
      </c>
      <c r="O129" s="6"/>
    </row>
    <row r="130" spans="1:15" s="25" customFormat="1" ht="13.5" hidden="1">
      <c r="A130" s="47" t="s">
        <v>14</v>
      </c>
      <c r="B130" s="40"/>
      <c r="C130" s="41" t="s">
        <v>163</v>
      </c>
      <c r="D130" s="6" t="s">
        <v>162</v>
      </c>
      <c r="E130" s="9" t="s">
        <v>157</v>
      </c>
      <c r="F130" s="9" t="s">
        <v>118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15" customHeight="1" hidden="1">
      <c r="A131" s="681" t="s">
        <v>177</v>
      </c>
      <c r="B131" s="683"/>
      <c r="C131" s="27" t="s">
        <v>23</v>
      </c>
      <c r="D131" s="44"/>
      <c r="E131" s="3"/>
      <c r="F131" s="3"/>
      <c r="G131" s="3"/>
      <c r="H131" s="131"/>
      <c r="I131" s="117"/>
      <c r="J131" s="110"/>
      <c r="K131" s="118">
        <f>K132</f>
        <v>0</v>
      </c>
      <c r="L131" s="117"/>
      <c r="M131" s="117"/>
      <c r="N131" s="117"/>
      <c r="O131" s="6"/>
    </row>
    <row r="132" spans="1:15" s="25" customFormat="1" ht="15" customHeight="1" hidden="1">
      <c r="A132" s="22" t="s">
        <v>178</v>
      </c>
      <c r="B132" s="9"/>
      <c r="C132" s="9" t="s">
        <v>23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/>
      <c r="I132" s="107"/>
      <c r="J132" s="78"/>
      <c r="K132" s="116"/>
      <c r="L132" s="107"/>
      <c r="M132" s="107"/>
      <c r="N132" s="107"/>
      <c r="O132" s="6"/>
    </row>
    <row r="133" spans="1:15" s="25" customFormat="1" ht="29.25" customHeight="1" hidden="1">
      <c r="A133" s="681" t="s">
        <v>191</v>
      </c>
      <c r="B133" s="683"/>
      <c r="C133" s="27" t="s">
        <v>192</v>
      </c>
      <c r="D133" s="3"/>
      <c r="E133" s="3"/>
      <c r="F133" s="3"/>
      <c r="G133" s="3"/>
      <c r="H133" s="124">
        <f aca="true" t="shared" si="6" ref="H133:H141">K133</f>
        <v>0</v>
      </c>
      <c r="I133" s="119"/>
      <c r="J133" s="97"/>
      <c r="K133" s="97">
        <f>K134+K135</f>
        <v>0</v>
      </c>
      <c r="L133" s="117"/>
      <c r="M133" s="117"/>
      <c r="N133" s="117"/>
      <c r="O133" s="6"/>
    </row>
    <row r="134" spans="1:15" s="25" customFormat="1" ht="16.5" customHeight="1" hidden="1">
      <c r="A134" s="61" t="s">
        <v>195</v>
      </c>
      <c r="B134" s="67"/>
      <c r="C134" s="59" t="s">
        <v>192</v>
      </c>
      <c r="D134" s="59" t="s">
        <v>193</v>
      </c>
      <c r="E134" s="59" t="s">
        <v>108</v>
      </c>
      <c r="F134" s="59" t="s">
        <v>121</v>
      </c>
      <c r="G134" s="59" t="s">
        <v>194</v>
      </c>
      <c r="H134" s="127">
        <f t="shared" si="6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 hidden="1">
      <c r="A135" s="61" t="s">
        <v>195</v>
      </c>
      <c r="B135" s="68"/>
      <c r="C135" s="59" t="s">
        <v>192</v>
      </c>
      <c r="D135" s="59" t="s">
        <v>196</v>
      </c>
      <c r="E135" s="59" t="s">
        <v>108</v>
      </c>
      <c r="F135" s="59" t="s">
        <v>121</v>
      </c>
      <c r="G135" s="59" t="s">
        <v>194</v>
      </c>
      <c r="H135" s="127">
        <f t="shared" si="6"/>
        <v>0</v>
      </c>
      <c r="I135" s="101" t="s">
        <v>76</v>
      </c>
      <c r="J135" s="100"/>
      <c r="K135" s="104"/>
      <c r="L135" s="101"/>
      <c r="M135" s="101"/>
      <c r="N135" s="101" t="s">
        <v>76</v>
      </c>
      <c r="O135" s="6"/>
    </row>
    <row r="136" spans="1:15" s="25" customFormat="1" ht="16.5" customHeight="1">
      <c r="A136" s="39" t="s">
        <v>222</v>
      </c>
      <c r="B136" s="38"/>
      <c r="C136" s="27" t="s">
        <v>203</v>
      </c>
      <c r="D136" s="3"/>
      <c r="E136" s="3"/>
      <c r="F136" s="3"/>
      <c r="G136" s="3"/>
      <c r="H136" s="124">
        <f t="shared" si="6"/>
        <v>10000</v>
      </c>
      <c r="I136" s="117" t="s">
        <v>76</v>
      </c>
      <c r="J136" s="110"/>
      <c r="K136" s="120">
        <f>K137</f>
        <v>10000</v>
      </c>
      <c r="L136" s="117"/>
      <c r="M136" s="117"/>
      <c r="N136" s="117" t="s">
        <v>76</v>
      </c>
      <c r="O136" s="6"/>
    </row>
    <row r="137" spans="1:15" s="25" customFormat="1" ht="24" customHeight="1">
      <c r="A137" s="22" t="s">
        <v>236</v>
      </c>
      <c r="B137" s="40"/>
      <c r="C137" s="9" t="s">
        <v>203</v>
      </c>
      <c r="D137" s="9" t="s">
        <v>81</v>
      </c>
      <c r="E137" s="9" t="s">
        <v>108</v>
      </c>
      <c r="F137" s="9" t="s">
        <v>205</v>
      </c>
      <c r="G137" s="9" t="s">
        <v>123</v>
      </c>
      <c r="H137" s="126">
        <f t="shared" si="6"/>
        <v>10000</v>
      </c>
      <c r="I137" s="107" t="s">
        <v>76</v>
      </c>
      <c r="J137" s="78"/>
      <c r="K137" s="121">
        <v>10000</v>
      </c>
      <c r="L137" s="107"/>
      <c r="M137" s="107"/>
      <c r="N137" s="107" t="s">
        <v>76</v>
      </c>
      <c r="O137" s="6"/>
    </row>
    <row r="138" spans="1:15" s="25" customFormat="1" ht="12.75" hidden="1">
      <c r="A138" s="75" t="s">
        <v>226</v>
      </c>
      <c r="B138" s="58"/>
      <c r="C138" s="42" t="s">
        <v>23</v>
      </c>
      <c r="D138" s="42"/>
      <c r="E138" s="42"/>
      <c r="F138" s="42"/>
      <c r="G138" s="42"/>
      <c r="H138" s="125">
        <f t="shared" si="6"/>
        <v>0</v>
      </c>
      <c r="I138" s="119"/>
      <c r="J138" s="98"/>
      <c r="K138" s="97">
        <f>K139</f>
        <v>0</v>
      </c>
      <c r="L138" s="119"/>
      <c r="M138" s="119"/>
      <c r="N138" s="119"/>
      <c r="O138" s="6"/>
    </row>
    <row r="139" spans="1:15" s="25" customFormat="1" ht="12.75" hidden="1">
      <c r="A139" s="76" t="s">
        <v>227</v>
      </c>
      <c r="B139" s="57"/>
      <c r="C139" s="9" t="s">
        <v>23</v>
      </c>
      <c r="D139" s="9" t="s">
        <v>228</v>
      </c>
      <c r="E139" s="9" t="s">
        <v>157</v>
      </c>
      <c r="F139" s="9" t="s">
        <v>116</v>
      </c>
      <c r="G139" s="9" t="s">
        <v>115</v>
      </c>
      <c r="H139" s="129">
        <f t="shared" si="6"/>
        <v>0</v>
      </c>
      <c r="I139" s="107"/>
      <c r="J139" s="26"/>
      <c r="K139" s="78"/>
      <c r="L139" s="107"/>
      <c r="M139" s="107"/>
      <c r="N139" s="107"/>
      <c r="O139" s="6"/>
    </row>
    <row r="140" spans="1:15" s="25" customFormat="1" ht="12.75" hidden="1">
      <c r="A140" s="77" t="s">
        <v>231</v>
      </c>
      <c r="B140" s="58"/>
      <c r="C140" s="87" t="s">
        <v>230</v>
      </c>
      <c r="D140" s="53"/>
      <c r="E140" s="53"/>
      <c r="F140" s="53"/>
      <c r="G140" s="53"/>
      <c r="H140" s="124">
        <f t="shared" si="6"/>
        <v>0</v>
      </c>
      <c r="I140" s="119"/>
      <c r="J140" s="97"/>
      <c r="K140" s="98">
        <f>K141</f>
        <v>0</v>
      </c>
      <c r="L140" s="119"/>
      <c r="M140" s="119"/>
      <c r="N140" s="119"/>
      <c r="O140" s="6"/>
    </row>
    <row r="141" spans="1:15" s="25" customFormat="1" ht="12.75" hidden="1">
      <c r="A141" s="22" t="s">
        <v>227</v>
      </c>
      <c r="B141" s="57"/>
      <c r="C141" s="9" t="s">
        <v>230</v>
      </c>
      <c r="D141" s="9" t="s">
        <v>81</v>
      </c>
      <c r="E141" s="9" t="s">
        <v>232</v>
      </c>
      <c r="F141" s="9" t="s">
        <v>116</v>
      </c>
      <c r="G141" s="9" t="s">
        <v>115</v>
      </c>
      <c r="H141" s="126">
        <f t="shared" si="6"/>
        <v>0</v>
      </c>
      <c r="I141" s="107"/>
      <c r="J141" s="78"/>
      <c r="K141" s="26"/>
      <c r="L141" s="107"/>
      <c r="M141" s="107"/>
      <c r="N141" s="107"/>
      <c r="O141" s="6"/>
    </row>
    <row r="142" spans="1:15" s="25" customFormat="1" ht="29.25" customHeight="1">
      <c r="A142" s="681" t="s">
        <v>224</v>
      </c>
      <c r="B142" s="682"/>
      <c r="C142" s="27" t="s">
        <v>80</v>
      </c>
      <c r="D142" s="3"/>
      <c r="E142" s="3"/>
      <c r="F142" s="3"/>
      <c r="G142" s="3"/>
      <c r="H142" s="124">
        <f aca="true" t="shared" si="7" ref="H142:H153">N142</f>
        <v>102004.12000000001</v>
      </c>
      <c r="I142" s="119"/>
      <c r="J142" s="119"/>
      <c r="K142" s="119"/>
      <c r="L142" s="119"/>
      <c r="M142" s="119"/>
      <c r="N142" s="97">
        <f>SUM(N143:N153)</f>
        <v>102004.12000000001</v>
      </c>
      <c r="O142" s="6"/>
    </row>
    <row r="143" spans="1:15" s="25" customFormat="1" ht="13.5" customHeight="1" hidden="1">
      <c r="A143" s="45" t="s">
        <v>8</v>
      </c>
      <c r="B143" s="8"/>
      <c r="C143" s="9" t="s">
        <v>80</v>
      </c>
      <c r="D143" s="9" t="s">
        <v>81</v>
      </c>
      <c r="E143" s="9" t="s">
        <v>108</v>
      </c>
      <c r="F143" s="9" t="s">
        <v>128</v>
      </c>
      <c r="G143" s="9" t="s">
        <v>115</v>
      </c>
      <c r="H143" s="126">
        <f t="shared" si="7"/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 hidden="1">
      <c r="A144" s="22" t="s">
        <v>11</v>
      </c>
      <c r="B144" s="9"/>
      <c r="C144" s="9" t="s">
        <v>80</v>
      </c>
      <c r="D144" s="9" t="s">
        <v>81</v>
      </c>
      <c r="E144" s="9" t="s">
        <v>108</v>
      </c>
      <c r="F144" s="9" t="s">
        <v>121</v>
      </c>
      <c r="G144" s="9" t="s">
        <v>115</v>
      </c>
      <c r="H144" s="126">
        <f t="shared" si="7"/>
        <v>0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/>
      <c r="N144" s="122"/>
      <c r="O144" s="6"/>
    </row>
    <row r="145" spans="1:15" s="25" customFormat="1" ht="13.5" customHeight="1">
      <c r="A145" s="22" t="s">
        <v>11</v>
      </c>
      <c r="B145" s="9"/>
      <c r="C145" s="9" t="s">
        <v>80</v>
      </c>
      <c r="D145" s="9" t="s">
        <v>81</v>
      </c>
      <c r="E145" s="9" t="s">
        <v>218</v>
      </c>
      <c r="F145" s="9" t="s">
        <v>121</v>
      </c>
      <c r="G145" s="9" t="s">
        <v>115</v>
      </c>
      <c r="H145" s="126">
        <f t="shared" si="7"/>
        <v>2815.2</v>
      </c>
      <c r="I145" s="107" t="s">
        <v>76</v>
      </c>
      <c r="J145" s="107" t="s">
        <v>76</v>
      </c>
      <c r="K145" s="107" t="s">
        <v>76</v>
      </c>
      <c r="L145" s="107" t="s">
        <v>76</v>
      </c>
      <c r="M145" s="107" t="s">
        <v>76</v>
      </c>
      <c r="N145" s="78">
        <v>2815.2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218</v>
      </c>
      <c r="F146" s="9" t="s">
        <v>116</v>
      </c>
      <c r="G146" s="9" t="s">
        <v>115</v>
      </c>
      <c r="H146" s="126">
        <f t="shared" si="7"/>
        <v>13427.57</v>
      </c>
      <c r="I146" s="107" t="s">
        <v>76</v>
      </c>
      <c r="J146" s="107"/>
      <c r="K146" s="107" t="s">
        <v>76</v>
      </c>
      <c r="L146" s="107" t="s">
        <v>76</v>
      </c>
      <c r="M146" s="107"/>
      <c r="N146" s="433">
        <v>13427.57</v>
      </c>
      <c r="O146" s="6"/>
    </row>
    <row r="147" spans="1:15" s="25" customFormat="1" ht="13.5" customHeight="1">
      <c r="A147" s="22" t="s">
        <v>362</v>
      </c>
      <c r="B147" s="9"/>
      <c r="C147" s="9" t="s">
        <v>80</v>
      </c>
      <c r="D147" s="9" t="s">
        <v>81</v>
      </c>
      <c r="E147" s="9" t="s">
        <v>218</v>
      </c>
      <c r="F147" s="9" t="s">
        <v>361</v>
      </c>
      <c r="G147" s="9" t="s">
        <v>115</v>
      </c>
      <c r="H147" s="126">
        <f t="shared" si="7"/>
        <v>3408.3</v>
      </c>
      <c r="I147" s="107"/>
      <c r="J147" s="107"/>
      <c r="K147" s="107"/>
      <c r="L147" s="107"/>
      <c r="M147" s="107"/>
      <c r="N147" s="433">
        <v>3408.3</v>
      </c>
      <c r="O147" s="6"/>
    </row>
    <row r="148" spans="1:15" s="25" customFormat="1" ht="13.5" customHeight="1">
      <c r="A148" s="22" t="s">
        <v>12</v>
      </c>
      <c r="B148" s="9"/>
      <c r="C148" s="9" t="s">
        <v>80</v>
      </c>
      <c r="D148" s="9" t="s">
        <v>81</v>
      </c>
      <c r="E148" s="9" t="s">
        <v>108</v>
      </c>
      <c r="F148" s="9" t="s">
        <v>116</v>
      </c>
      <c r="G148" s="9" t="s">
        <v>115</v>
      </c>
      <c r="H148" s="126">
        <f t="shared" si="7"/>
        <v>30000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 t="s">
        <v>76</v>
      </c>
      <c r="N148" s="78">
        <v>30000</v>
      </c>
      <c r="O148" s="6"/>
    </row>
    <row r="149" spans="1:15" s="25" customFormat="1" ht="13.5" customHeight="1">
      <c r="A149" s="22" t="s">
        <v>14</v>
      </c>
      <c r="B149" s="9"/>
      <c r="C149" s="9" t="s">
        <v>80</v>
      </c>
      <c r="D149" s="9" t="s">
        <v>81</v>
      </c>
      <c r="E149" s="9" t="s">
        <v>108</v>
      </c>
      <c r="F149" s="9" t="s">
        <v>118</v>
      </c>
      <c r="G149" s="9" t="s">
        <v>115</v>
      </c>
      <c r="H149" s="126">
        <f t="shared" si="7"/>
        <v>35000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>
        <v>35000</v>
      </c>
      <c r="O149" s="6"/>
    </row>
    <row r="150" spans="1:15" s="25" customFormat="1" ht="13.5" customHeight="1">
      <c r="A150" s="22" t="s">
        <v>463</v>
      </c>
      <c r="B150" s="9"/>
      <c r="C150" s="9" t="s">
        <v>80</v>
      </c>
      <c r="D150" s="9" t="s">
        <v>81</v>
      </c>
      <c r="E150" s="9" t="s">
        <v>108</v>
      </c>
      <c r="F150" s="9" t="s">
        <v>118</v>
      </c>
      <c r="G150" s="9" t="s">
        <v>115</v>
      </c>
      <c r="H150" s="126">
        <f t="shared" si="7"/>
        <v>2504.12</v>
      </c>
      <c r="I150" s="107" t="s">
        <v>76</v>
      </c>
      <c r="J150" s="107" t="s">
        <v>76</v>
      </c>
      <c r="K150" s="107" t="s">
        <v>76</v>
      </c>
      <c r="L150" s="107"/>
      <c r="M150" s="107"/>
      <c r="N150" s="122">
        <v>2504.12</v>
      </c>
      <c r="O150" s="6"/>
    </row>
    <row r="151" spans="1:15" s="25" customFormat="1" ht="39" customHeight="1">
      <c r="A151" s="22" t="s">
        <v>363</v>
      </c>
      <c r="B151" s="9"/>
      <c r="C151" s="9" t="s">
        <v>80</v>
      </c>
      <c r="D151" s="9" t="s">
        <v>81</v>
      </c>
      <c r="E151" s="9" t="s">
        <v>218</v>
      </c>
      <c r="F151" s="9" t="s">
        <v>240</v>
      </c>
      <c r="G151" s="9" t="s">
        <v>115</v>
      </c>
      <c r="H151" s="126">
        <f t="shared" si="7"/>
        <v>3937.5</v>
      </c>
      <c r="I151" s="107" t="s">
        <v>76</v>
      </c>
      <c r="J151" s="107"/>
      <c r="K151" s="107" t="s">
        <v>76</v>
      </c>
      <c r="L151" s="107" t="s">
        <v>76</v>
      </c>
      <c r="M151" s="107"/>
      <c r="N151" s="99">
        <v>3937.5</v>
      </c>
      <c r="O151" s="6"/>
    </row>
    <row r="152" spans="1:15" s="25" customFormat="1" ht="30.75" customHeight="1">
      <c r="A152" s="431" t="s">
        <v>364</v>
      </c>
      <c r="B152" s="20"/>
      <c r="C152" s="9" t="s">
        <v>80</v>
      </c>
      <c r="D152" s="9" t="s">
        <v>81</v>
      </c>
      <c r="E152" s="9" t="s">
        <v>218</v>
      </c>
      <c r="F152" s="9" t="s">
        <v>242</v>
      </c>
      <c r="G152" s="9" t="s">
        <v>115</v>
      </c>
      <c r="H152" s="126">
        <f t="shared" si="7"/>
        <v>7087.63</v>
      </c>
      <c r="I152" s="107" t="s">
        <v>76</v>
      </c>
      <c r="J152" s="108"/>
      <c r="K152" s="107" t="s">
        <v>76</v>
      </c>
      <c r="L152" s="108"/>
      <c r="M152" s="108"/>
      <c r="N152" s="78">
        <v>7087.63</v>
      </c>
      <c r="O152" s="6"/>
    </row>
    <row r="153" spans="1:15" s="25" customFormat="1" ht="30.75" customHeight="1">
      <c r="A153" s="431" t="s">
        <v>243</v>
      </c>
      <c r="B153" s="20"/>
      <c r="C153" s="9" t="s">
        <v>80</v>
      </c>
      <c r="D153" s="9" t="s">
        <v>81</v>
      </c>
      <c r="E153" s="9" t="s">
        <v>218</v>
      </c>
      <c r="F153" s="9" t="s">
        <v>244</v>
      </c>
      <c r="G153" s="9" t="s">
        <v>115</v>
      </c>
      <c r="H153" s="126">
        <f t="shared" si="7"/>
        <v>3823.8</v>
      </c>
      <c r="I153" s="107"/>
      <c r="J153" s="108"/>
      <c r="K153" s="107"/>
      <c r="L153" s="108"/>
      <c r="M153" s="108"/>
      <c r="N153" s="78">
        <v>3823.8</v>
      </c>
      <c r="O153" s="6"/>
    </row>
    <row r="154" spans="1:15" s="25" customFormat="1" ht="27">
      <c r="A154" s="96" t="s">
        <v>129</v>
      </c>
      <c r="B154" s="32" t="s">
        <v>130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16692100</v>
      </c>
      <c r="I154" s="130">
        <f>I56+I59+I87+I88+I57+I72+I58</f>
        <v>16682100</v>
      </c>
      <c r="J154" s="130"/>
      <c r="K154" s="130">
        <f>K137</f>
        <v>10000</v>
      </c>
      <c r="L154" s="134" t="s">
        <v>76</v>
      </c>
      <c r="M154" s="134" t="s">
        <v>76</v>
      </c>
      <c r="N154" s="130"/>
      <c r="O154" s="6" t="s">
        <v>76</v>
      </c>
    </row>
    <row r="155" spans="1:15" s="25" customFormat="1" ht="27">
      <c r="A155" s="96" t="s">
        <v>131</v>
      </c>
      <c r="B155" s="32" t="s">
        <v>132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H157+H156</f>
        <v>7306708.82</v>
      </c>
      <c r="I155" s="130">
        <f>I157+I156</f>
        <v>5026339</v>
      </c>
      <c r="J155" s="130">
        <f>J157+J156</f>
        <v>0</v>
      </c>
      <c r="K155" s="130">
        <f>K157+K156</f>
        <v>2178365.7</v>
      </c>
      <c r="L155" s="134"/>
      <c r="M155" s="134"/>
      <c r="N155" s="130">
        <f>N157+N156</f>
        <v>102004.12</v>
      </c>
      <c r="O155" s="6"/>
    </row>
    <row r="156" spans="1:15" s="25" customFormat="1" ht="24" customHeight="1">
      <c r="A156" s="96" t="s">
        <v>133</v>
      </c>
      <c r="B156" s="32" t="s">
        <v>134</v>
      </c>
      <c r="C156" s="33" t="s">
        <v>76</v>
      </c>
      <c r="D156" s="33" t="s">
        <v>76</v>
      </c>
      <c r="E156" s="33" t="s">
        <v>76</v>
      </c>
      <c r="F156" s="33" t="s">
        <v>76</v>
      </c>
      <c r="G156" s="33" t="s">
        <v>76</v>
      </c>
      <c r="H156" s="130">
        <f>I156+N156+K156</f>
        <v>0</v>
      </c>
      <c r="I156" s="130"/>
      <c r="J156" s="130"/>
      <c r="K156" s="130">
        <v>0</v>
      </c>
      <c r="L156" s="134"/>
      <c r="M156" s="134"/>
      <c r="N156" s="130">
        <v>0</v>
      </c>
      <c r="O156" s="6"/>
    </row>
    <row r="157" spans="1:15" s="25" customFormat="1" ht="12.75" customHeight="1">
      <c r="A157" s="96" t="s">
        <v>135</v>
      </c>
      <c r="B157" s="32" t="s">
        <v>136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I157+N157+K157</f>
        <v>7306708.82</v>
      </c>
      <c r="I157" s="130">
        <f>I61+I66+I67+I68+I69+I73+I78+I79+I81+I83+I84+I85+I86+I97+I92+I93+I74+I75+I76+I77+I94+I82+I71</f>
        <v>5026339</v>
      </c>
      <c r="J157" s="130"/>
      <c r="K157" s="130">
        <f>K101+K105+K134+K135+K119+K120+K121+K127+K129+K113+K114+K115+K116+K112+K139+K141+K126+K122+K123+K124+K107+K108++K109+K110</f>
        <v>2178365.7</v>
      </c>
      <c r="L157" s="134" t="s">
        <v>76</v>
      </c>
      <c r="M157" s="134" t="s">
        <v>76</v>
      </c>
      <c r="N157" s="130">
        <f>N143+N144+N146+N149+N151+N145+N148+N152+N147+N153+N150</f>
        <v>102004.12</v>
      </c>
      <c r="O157" s="6" t="s">
        <v>76</v>
      </c>
    </row>
    <row r="158" spans="1:15" s="25" customFormat="1" ht="13.5" hidden="1">
      <c r="A158" s="8" t="s">
        <v>137</v>
      </c>
      <c r="B158" s="9" t="s">
        <v>138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f>I158+N158</f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139</v>
      </c>
      <c r="B159" s="9" t="s">
        <v>118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140</v>
      </c>
      <c r="B160" s="9" t="s">
        <v>141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142</v>
      </c>
      <c r="B161" s="9" t="s">
        <v>143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144</v>
      </c>
      <c r="B162" s="9" t="s">
        <v>145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146</v>
      </c>
      <c r="B163" s="9" t="s">
        <v>147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>
      <c r="A164" s="48" t="s">
        <v>137</v>
      </c>
      <c r="B164" s="49" t="s">
        <v>138</v>
      </c>
      <c r="C164" s="50" t="s">
        <v>173</v>
      </c>
      <c r="D164" s="49" t="s">
        <v>81</v>
      </c>
      <c r="E164" s="50" t="s">
        <v>174</v>
      </c>
      <c r="F164" s="50" t="s">
        <v>174</v>
      </c>
      <c r="G164" s="50" t="s">
        <v>175</v>
      </c>
      <c r="H164" s="132">
        <v>28653.9</v>
      </c>
      <c r="I164" s="136"/>
      <c r="J164" s="136"/>
      <c r="K164" s="136"/>
      <c r="L164" s="137"/>
      <c r="M164" s="137"/>
      <c r="N164" s="136"/>
      <c r="O164" s="6"/>
    </row>
    <row r="165" spans="1:15" s="25" customFormat="1" ht="13.5">
      <c r="A165" s="51" t="s">
        <v>142</v>
      </c>
      <c r="B165" s="49" t="s">
        <v>143</v>
      </c>
      <c r="C165" s="50" t="s">
        <v>173</v>
      </c>
      <c r="D165" s="49" t="s">
        <v>81</v>
      </c>
      <c r="E165" s="50" t="s">
        <v>174</v>
      </c>
      <c r="F165" s="50" t="s">
        <v>174</v>
      </c>
      <c r="G165" s="50" t="s">
        <v>176</v>
      </c>
      <c r="H165" s="132">
        <v>28653.9</v>
      </c>
      <c r="I165" s="136"/>
      <c r="J165" s="136"/>
      <c r="K165" s="136"/>
      <c r="L165" s="137"/>
      <c r="M165" s="137"/>
      <c r="N165" s="136"/>
      <c r="O165" s="6"/>
    </row>
    <row r="166" spans="1:15" s="25" customFormat="1" ht="13.5">
      <c r="A166" s="35" t="s">
        <v>148</v>
      </c>
      <c r="B166" s="36" t="s">
        <v>149</v>
      </c>
      <c r="C166" s="37" t="s">
        <v>76</v>
      </c>
      <c r="D166" s="37" t="s">
        <v>76</v>
      </c>
      <c r="E166" s="37" t="s">
        <v>76</v>
      </c>
      <c r="F166" s="37" t="s">
        <v>76</v>
      </c>
      <c r="G166" s="37" t="s">
        <v>76</v>
      </c>
      <c r="H166" s="133">
        <f>I166+K166+N166</f>
        <v>0</v>
      </c>
      <c r="I166" s="133">
        <v>0</v>
      </c>
      <c r="J166" s="133"/>
      <c r="K166" s="133"/>
      <c r="L166" s="138" t="s">
        <v>76</v>
      </c>
      <c r="M166" s="138" t="s">
        <v>76</v>
      </c>
      <c r="N166" s="133"/>
      <c r="O166" s="6" t="s">
        <v>76</v>
      </c>
    </row>
    <row r="167" spans="1:15" s="25" customFormat="1" ht="13.5">
      <c r="A167" s="20" t="s">
        <v>150</v>
      </c>
      <c r="B167" s="9" t="s">
        <v>151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9" ht="12.75">
      <c r="A169" s="88" t="s">
        <v>271</v>
      </c>
    </row>
    <row r="170" ht="12.75">
      <c r="A170" s="88"/>
    </row>
    <row r="171" ht="19.5" customHeight="1">
      <c r="A171" s="88" t="s">
        <v>17</v>
      </c>
    </row>
    <row r="172" ht="12.75">
      <c r="A172" s="88" t="s">
        <v>272</v>
      </c>
    </row>
    <row r="173" ht="12.75">
      <c r="A173" s="88"/>
    </row>
    <row r="174" ht="13.5" customHeight="1">
      <c r="A174" s="89"/>
    </row>
    <row r="175" ht="13.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</sheetData>
  <sheetProtection/>
  <mergeCells count="84">
    <mergeCell ref="E126:E127"/>
    <mergeCell ref="F119:F121"/>
    <mergeCell ref="A142:B142"/>
    <mergeCell ref="C119:C121"/>
    <mergeCell ref="E119:E121"/>
    <mergeCell ref="G126:G127"/>
    <mergeCell ref="A128:B128"/>
    <mergeCell ref="A131:B131"/>
    <mergeCell ref="A133:B133"/>
    <mergeCell ref="A126:A127"/>
    <mergeCell ref="C126:C127"/>
    <mergeCell ref="A98:B98"/>
    <mergeCell ref="A102:B102"/>
    <mergeCell ref="A106:B106"/>
    <mergeCell ref="A111:B111"/>
    <mergeCell ref="A117:B117"/>
    <mergeCell ref="A119:A121"/>
    <mergeCell ref="F126:F127"/>
    <mergeCell ref="A80:B80"/>
    <mergeCell ref="A83:A84"/>
    <mergeCell ref="C83:C84"/>
    <mergeCell ref="G85:G86"/>
    <mergeCell ref="A85:A86"/>
    <mergeCell ref="C85:C86"/>
    <mergeCell ref="E85:E86"/>
    <mergeCell ref="F85:F86"/>
    <mergeCell ref="G119:G121"/>
    <mergeCell ref="A45:A46"/>
    <mergeCell ref="C45:C46"/>
    <mergeCell ref="A78:A79"/>
    <mergeCell ref="C78:C79"/>
    <mergeCell ref="G83:G84"/>
    <mergeCell ref="G68:G69"/>
    <mergeCell ref="G78:G79"/>
    <mergeCell ref="E68:E69"/>
    <mergeCell ref="E78:E79"/>
    <mergeCell ref="E73:E74"/>
    <mergeCell ref="F78:F79"/>
    <mergeCell ref="F83:F84"/>
    <mergeCell ref="E83:E84"/>
    <mergeCell ref="C36:C39"/>
    <mergeCell ref="F45:F46"/>
    <mergeCell ref="F68:F69"/>
    <mergeCell ref="A55:B55"/>
    <mergeCell ref="A61:A66"/>
    <mergeCell ref="C61:C66"/>
    <mergeCell ref="F61:F66"/>
    <mergeCell ref="C57:C58"/>
    <mergeCell ref="A68:A69"/>
    <mergeCell ref="C68:C69"/>
    <mergeCell ref="A40:A42"/>
    <mergeCell ref="C40:C42"/>
    <mergeCell ref="F40:F42"/>
    <mergeCell ref="B16:B23"/>
    <mergeCell ref="A19:A23"/>
    <mergeCell ref="C19:C23"/>
    <mergeCell ref="F19:F23"/>
    <mergeCell ref="A30:A35"/>
    <mergeCell ref="F31:F35"/>
    <mergeCell ref="A36:A39"/>
    <mergeCell ref="J16:J17"/>
    <mergeCell ref="A17:A18"/>
    <mergeCell ref="C17:C18"/>
    <mergeCell ref="E17:E18"/>
    <mergeCell ref="F17:F18"/>
    <mergeCell ref="G17:G18"/>
    <mergeCell ref="B10:B15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view="pageBreakPreview" zoomScaleSheetLayoutView="100" zoomScalePageLayoutView="0" workbookViewId="0" topLeftCell="A19">
      <selection activeCell="N67" sqref="N67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478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H10+H16+H24</f>
        <v>23998808.82</v>
      </c>
      <c r="I9" s="124">
        <f>I16</f>
        <v>21708439</v>
      </c>
      <c r="J9" s="124"/>
      <c r="K9" s="124">
        <f>K24</f>
        <v>2188365.7</v>
      </c>
      <c r="L9" s="125" t="s">
        <v>76</v>
      </c>
      <c r="M9" s="125" t="s">
        <v>76</v>
      </c>
      <c r="N9" s="124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21708439</v>
      </c>
      <c r="I16" s="78">
        <f>I17+I19+I20+I18+I23</f>
        <v>21708439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17351100</v>
      </c>
      <c r="I18" s="359">
        <f>16689500+661600</f>
        <v>17351100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12.75">
      <c r="A24" s="72" t="s">
        <v>87</v>
      </c>
      <c r="B24" s="62" t="s">
        <v>88</v>
      </c>
      <c r="C24" s="62" t="s">
        <v>76</v>
      </c>
      <c r="D24" s="62" t="s">
        <v>76</v>
      </c>
      <c r="E24" s="62" t="s">
        <v>76</v>
      </c>
      <c r="F24" s="62" t="s">
        <v>76</v>
      </c>
      <c r="G24" s="62" t="s">
        <v>76</v>
      </c>
      <c r="H24" s="127">
        <f>K24</f>
        <v>2188365.7</v>
      </c>
      <c r="I24" s="102" t="s">
        <v>76</v>
      </c>
      <c r="J24" s="100"/>
      <c r="K24" s="100">
        <f>SUM(K25:K48)</f>
        <v>2188365.7</v>
      </c>
      <c r="L24" s="102" t="s">
        <v>76</v>
      </c>
      <c r="M24" s="102" t="s">
        <v>76</v>
      </c>
      <c r="N24" s="102" t="s">
        <v>76</v>
      </c>
      <c r="O24" s="7" t="s">
        <v>76</v>
      </c>
    </row>
    <row r="25" spans="1:16" ht="69" customHeight="1">
      <c r="A25" s="73" t="s">
        <v>45</v>
      </c>
      <c r="B25" s="62"/>
      <c r="C25" s="63" t="s">
        <v>21</v>
      </c>
      <c r="D25" s="389" t="s">
        <v>89</v>
      </c>
      <c r="E25" s="6"/>
      <c r="F25" s="6" t="s">
        <v>284</v>
      </c>
      <c r="G25" s="6"/>
      <c r="H25" s="390">
        <f>K25</f>
        <v>653340</v>
      </c>
      <c r="I25" s="107" t="s">
        <v>76</v>
      </c>
      <c r="J25" s="116"/>
      <c r="K25" s="391">
        <f>676900-23560</f>
        <v>653340</v>
      </c>
      <c r="L25" s="101" t="s">
        <v>76</v>
      </c>
      <c r="M25" s="101" t="s">
        <v>76</v>
      </c>
      <c r="N25" s="101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24.75" customHeight="1">
      <c r="A30" s="699" t="s">
        <v>280</v>
      </c>
      <c r="B30" s="62"/>
      <c r="C30" s="63" t="s">
        <v>50</v>
      </c>
      <c r="D30" s="6" t="s">
        <v>81</v>
      </c>
      <c r="E30" s="392"/>
      <c r="F30" s="6" t="s">
        <v>284</v>
      </c>
      <c r="G30" s="9"/>
      <c r="H30" s="126">
        <f>K30</f>
        <v>80000</v>
      </c>
      <c r="I30" s="107"/>
      <c r="J30" s="322"/>
      <c r="K30" s="78">
        <v>80000</v>
      </c>
      <c r="L30" s="323"/>
      <c r="M30" s="323"/>
      <c r="N30" s="107" t="s">
        <v>76</v>
      </c>
      <c r="O30" s="7"/>
    </row>
    <row r="31" spans="1:15" ht="21" customHeight="1" hidden="1">
      <c r="A31" s="700"/>
      <c r="B31" s="62"/>
      <c r="C31" s="63" t="s">
        <v>50</v>
      </c>
      <c r="D31" s="393" t="s">
        <v>332</v>
      </c>
      <c r="E31" s="20"/>
      <c r="F31" s="695" t="s">
        <v>284</v>
      </c>
      <c r="G31" s="9"/>
      <c r="H31" s="25"/>
      <c r="I31" s="107" t="s">
        <v>76</v>
      </c>
      <c r="J31" s="108"/>
      <c r="K31" s="109"/>
      <c r="L31" s="108"/>
      <c r="M31" s="108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214</v>
      </c>
      <c r="E32" s="9"/>
      <c r="F32" s="695"/>
      <c r="G32" s="9"/>
      <c r="H32" s="126">
        <f aca="true" t="shared" si="2" ref="H32:H48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333</v>
      </c>
      <c r="E33" s="9"/>
      <c r="F33" s="695"/>
      <c r="G33" s="9"/>
      <c r="H33" s="126">
        <f t="shared" si="2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216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1"/>
      <c r="B35" s="62"/>
      <c r="C35" s="63" t="s">
        <v>50</v>
      </c>
      <c r="D35" s="9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>
      <c r="A36" s="741" t="s">
        <v>372</v>
      </c>
      <c r="B36" s="60"/>
      <c r="C36" s="693" t="s">
        <v>373</v>
      </c>
      <c r="D36" s="434" t="s">
        <v>332</v>
      </c>
      <c r="E36" s="9"/>
      <c r="F36" s="6" t="s">
        <v>284</v>
      </c>
      <c r="G36" s="9"/>
      <c r="H36" s="126">
        <f t="shared" si="2"/>
        <v>43200</v>
      </c>
      <c r="I36" s="107"/>
      <c r="J36" s="78"/>
      <c r="K36" s="78">
        <v>43200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214</v>
      </c>
      <c r="E37" s="9"/>
      <c r="F37" s="6" t="s">
        <v>284</v>
      </c>
      <c r="G37" s="9"/>
      <c r="H37" s="126">
        <f t="shared" si="2"/>
        <v>4800</v>
      </c>
      <c r="I37" s="107"/>
      <c r="J37" s="78"/>
      <c r="K37" s="78">
        <v>4800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333</v>
      </c>
      <c r="E38" s="9"/>
      <c r="F38" s="6" t="s">
        <v>284</v>
      </c>
      <c r="G38" s="9"/>
      <c r="H38" s="126">
        <f t="shared" si="2"/>
        <v>10800</v>
      </c>
      <c r="I38" s="107"/>
      <c r="J38" s="78"/>
      <c r="K38" s="78">
        <v>10800</v>
      </c>
      <c r="L38" s="26"/>
      <c r="M38" s="26"/>
      <c r="N38" s="107"/>
      <c r="O38" s="7"/>
    </row>
    <row r="39" spans="1:15" ht="12.75" customHeight="1">
      <c r="A39" s="743"/>
      <c r="B39" s="60"/>
      <c r="C39" s="694"/>
      <c r="D39" s="434" t="s">
        <v>216</v>
      </c>
      <c r="E39" s="9"/>
      <c r="F39" s="6" t="s">
        <v>284</v>
      </c>
      <c r="G39" s="9"/>
      <c r="H39" s="126">
        <f t="shared" si="2"/>
        <v>1200</v>
      </c>
      <c r="I39" s="107"/>
      <c r="J39" s="78"/>
      <c r="K39" s="78">
        <v>1200</v>
      </c>
      <c r="L39" s="26"/>
      <c r="M39" s="26"/>
      <c r="N39" s="107"/>
      <c r="O39" s="7"/>
    </row>
    <row r="40" spans="1:15" ht="12.75">
      <c r="A40" s="711" t="s">
        <v>155</v>
      </c>
      <c r="B40" s="62"/>
      <c r="C40" s="698" t="s">
        <v>51</v>
      </c>
      <c r="D40" s="6" t="s">
        <v>81</v>
      </c>
      <c r="E40" s="9"/>
      <c r="F40" s="693" t="s">
        <v>284</v>
      </c>
      <c r="G40" s="9"/>
      <c r="H40" s="126">
        <f t="shared" si="2"/>
        <v>201123.7</v>
      </c>
      <c r="I40" s="107" t="s">
        <v>76</v>
      </c>
      <c r="J40" s="78"/>
      <c r="K40" s="78">
        <f>195152.7+2985.5+2985.5</f>
        <v>201123.7</v>
      </c>
      <c r="L40" s="26"/>
      <c r="M40" s="26"/>
      <c r="N40" s="107" t="s">
        <v>76</v>
      </c>
      <c r="O40" s="7"/>
    </row>
    <row r="41" spans="1:21" ht="12.75">
      <c r="A41" s="711"/>
      <c r="B41" s="62"/>
      <c r="C41" s="698"/>
      <c r="D41" s="6" t="s">
        <v>166</v>
      </c>
      <c r="E41" s="9"/>
      <c r="F41" s="697"/>
      <c r="G41" s="9"/>
      <c r="H41" s="126">
        <f t="shared" si="2"/>
        <v>188911.8</v>
      </c>
      <c r="I41" s="107" t="s">
        <v>76</v>
      </c>
      <c r="J41" s="78"/>
      <c r="K41" s="78">
        <f>148024.8+20443.5+20443.5</f>
        <v>188911.8</v>
      </c>
      <c r="L41" s="26"/>
      <c r="M41" s="26"/>
      <c r="N41" s="107" t="s">
        <v>76</v>
      </c>
      <c r="O41" s="7"/>
      <c r="U41" s="392"/>
    </row>
    <row r="42" spans="1:15" ht="12.75">
      <c r="A42" s="711"/>
      <c r="B42" s="62"/>
      <c r="C42" s="698"/>
      <c r="D42" s="9" t="s">
        <v>196</v>
      </c>
      <c r="E42" s="9"/>
      <c r="F42" s="694"/>
      <c r="G42" s="9"/>
      <c r="H42" s="126">
        <f t="shared" si="2"/>
        <v>20990.2</v>
      </c>
      <c r="I42" s="107" t="s">
        <v>76</v>
      </c>
      <c r="J42" s="78"/>
      <c r="K42" s="78">
        <f>16447.2+2271.5+2271.5</f>
        <v>20990.2</v>
      </c>
      <c r="L42" s="26"/>
      <c r="M42" s="26"/>
      <c r="N42" s="107" t="s">
        <v>76</v>
      </c>
      <c r="O42" s="7"/>
    </row>
    <row r="43" spans="1:15" ht="63.75">
      <c r="A43" s="65" t="s">
        <v>43</v>
      </c>
      <c r="B43" s="66"/>
      <c r="C43" s="368" t="s">
        <v>42</v>
      </c>
      <c r="D43" s="6" t="s">
        <v>162</v>
      </c>
      <c r="E43" s="9"/>
      <c r="F43" s="6" t="s">
        <v>284</v>
      </c>
      <c r="G43" s="9"/>
      <c r="H43" s="126">
        <f t="shared" si="2"/>
        <v>950000</v>
      </c>
      <c r="I43" s="107" t="s">
        <v>76</v>
      </c>
      <c r="J43" s="78"/>
      <c r="K43" s="78">
        <v>950000</v>
      </c>
      <c r="L43" s="26"/>
      <c r="M43" s="26"/>
      <c r="N43" s="107" t="s">
        <v>76</v>
      </c>
      <c r="O43" s="7"/>
    </row>
    <row r="44" spans="1:21" ht="25.5">
      <c r="A44" s="65" t="s">
        <v>225</v>
      </c>
      <c r="B44" s="66"/>
      <c r="C44" s="59" t="s">
        <v>203</v>
      </c>
      <c r="D44" s="59" t="s">
        <v>81</v>
      </c>
      <c r="E44" s="59"/>
      <c r="F44" s="6" t="s">
        <v>284</v>
      </c>
      <c r="G44" s="9"/>
      <c r="H44" s="126">
        <f t="shared" si="2"/>
        <v>10000</v>
      </c>
      <c r="I44" s="107" t="s">
        <v>76</v>
      </c>
      <c r="J44" s="78"/>
      <c r="K44" s="78">
        <v>10000</v>
      </c>
      <c r="L44" s="26"/>
      <c r="M44" s="26"/>
      <c r="N44" s="107" t="s">
        <v>76</v>
      </c>
      <c r="O44" s="7"/>
      <c r="U44" s="469"/>
    </row>
    <row r="45" spans="1:15" ht="21" customHeight="1" hidden="1">
      <c r="A45" s="689" t="s">
        <v>199</v>
      </c>
      <c r="B45" s="66"/>
      <c r="C45" s="690" t="s">
        <v>192</v>
      </c>
      <c r="D45" s="59" t="s">
        <v>193</v>
      </c>
      <c r="E45" s="59"/>
      <c r="F45" s="693" t="s">
        <v>209</v>
      </c>
      <c r="G45" s="9"/>
      <c r="H45" s="126">
        <f t="shared" si="2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18" customHeight="1" hidden="1">
      <c r="A46" s="689"/>
      <c r="B46" s="66"/>
      <c r="C46" s="690"/>
      <c r="D46" s="59" t="s">
        <v>196</v>
      </c>
      <c r="E46" s="59"/>
      <c r="F46" s="694"/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38.25" hidden="1">
      <c r="A47" s="22" t="s">
        <v>49</v>
      </c>
      <c r="B47" s="6"/>
      <c r="C47" s="6" t="s">
        <v>23</v>
      </c>
      <c r="D47" s="6" t="s">
        <v>228</v>
      </c>
      <c r="E47" s="6"/>
      <c r="F47" s="6" t="s">
        <v>209</v>
      </c>
      <c r="G47" s="6"/>
      <c r="H47" s="129">
        <f t="shared" si="2"/>
        <v>0</v>
      </c>
      <c r="I47" s="26"/>
      <c r="J47" s="26"/>
      <c r="K47" s="78"/>
      <c r="L47" s="26"/>
      <c r="M47" s="26"/>
      <c r="N47" s="26"/>
      <c r="O47" s="7"/>
    </row>
    <row r="48" spans="1:15" ht="22.5" customHeight="1" hidden="1">
      <c r="A48" s="8" t="s">
        <v>229</v>
      </c>
      <c r="B48" s="6"/>
      <c r="C48" s="22" t="s">
        <v>230</v>
      </c>
      <c r="D48" s="6" t="s">
        <v>81</v>
      </c>
      <c r="E48" s="9"/>
      <c r="F48" s="15" t="s">
        <v>209</v>
      </c>
      <c r="G48" s="9"/>
      <c r="H48" s="126">
        <f t="shared" si="2"/>
        <v>0</v>
      </c>
      <c r="I48" s="107"/>
      <c r="J48" s="78"/>
      <c r="K48" s="26"/>
      <c r="L48" s="26"/>
      <c r="M48" s="26"/>
      <c r="N48" s="26"/>
      <c r="O48" s="7"/>
    </row>
    <row r="49" spans="1:21" s="25" customFormat="1" ht="17.25" customHeight="1">
      <c r="A49" s="23" t="s">
        <v>94</v>
      </c>
      <c r="B49" s="24" t="s">
        <v>95</v>
      </c>
      <c r="C49" s="56" t="s">
        <v>76</v>
      </c>
      <c r="D49" s="56" t="s">
        <v>76</v>
      </c>
      <c r="E49" s="56" t="s">
        <v>76</v>
      </c>
      <c r="F49" s="56" t="s">
        <v>76</v>
      </c>
      <c r="G49" s="56" t="s">
        <v>76</v>
      </c>
      <c r="H49" s="130">
        <f>I49+N49+K49</f>
        <v>23998808.82</v>
      </c>
      <c r="I49" s="130">
        <f>I55+I80+I98</f>
        <v>21708439</v>
      </c>
      <c r="J49" s="130"/>
      <c r="K49" s="130">
        <f>K98+K102+K104+K117+K128+K131+K133+K111+K136+K138+K140+K106</f>
        <v>2188365.7</v>
      </c>
      <c r="L49" s="130"/>
      <c r="M49" s="130"/>
      <c r="N49" s="130">
        <f>N142</f>
        <v>102004.12000000001</v>
      </c>
      <c r="O49" s="95"/>
      <c r="U49" s="380"/>
    </row>
    <row r="50" spans="1:15" s="25" customFormat="1" ht="18" customHeight="1">
      <c r="A50" s="8" t="s">
        <v>96</v>
      </c>
      <c r="B50" s="9" t="s">
        <v>97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16571666</v>
      </c>
      <c r="I50" s="78">
        <f>I51+I53</f>
        <v>16571666</v>
      </c>
      <c r="J50" s="78"/>
      <c r="K50" s="78"/>
      <c r="L50" s="78"/>
      <c r="M50" s="78"/>
      <c r="N50" s="78"/>
      <c r="O50" s="7" t="s">
        <v>76</v>
      </c>
    </row>
    <row r="51" spans="1:15" s="25" customFormat="1" ht="25.5">
      <c r="A51" s="22" t="s">
        <v>98</v>
      </c>
      <c r="B51" s="9" t="s">
        <v>99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16571666</v>
      </c>
      <c r="I51" s="78">
        <f>I56+I57+I59+I60</f>
        <v>16571666</v>
      </c>
      <c r="J51" s="78"/>
      <c r="K51" s="78"/>
      <c r="L51" s="78"/>
      <c r="M51" s="78"/>
      <c r="N51" s="78"/>
      <c r="O51" s="7" t="s">
        <v>76</v>
      </c>
    </row>
    <row r="52" spans="1:15" s="25" customFormat="1" ht="9.75" customHeight="1" hidden="1">
      <c r="A52" s="8" t="s">
        <v>100</v>
      </c>
      <c r="B52" s="9" t="s">
        <v>101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/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25.5" hidden="1">
      <c r="A53" s="8" t="s">
        <v>102</v>
      </c>
      <c r="B53" s="9" t="s">
        <v>103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0</v>
      </c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13.5" customHeight="1" hidden="1">
      <c r="A54" s="8" t="s">
        <v>104</v>
      </c>
      <c r="B54" s="9" t="s">
        <v>105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v>0</v>
      </c>
      <c r="I54" s="78">
        <v>0</v>
      </c>
      <c r="J54" s="78"/>
      <c r="K54" s="78"/>
      <c r="L54" s="78"/>
      <c r="M54" s="78"/>
      <c r="N54" s="78"/>
      <c r="O54" s="21"/>
    </row>
    <row r="55" spans="1:15" s="25" customFormat="1" ht="29.25" customHeight="1">
      <c r="A55" s="681" t="s">
        <v>428</v>
      </c>
      <c r="B55" s="683"/>
      <c r="C55" s="27" t="s">
        <v>18</v>
      </c>
      <c r="D55" s="3"/>
      <c r="E55" s="27"/>
      <c r="F55" s="3"/>
      <c r="G55" s="3"/>
      <c r="H55" s="124">
        <f>SUM(H56:H79)</f>
        <v>17759400</v>
      </c>
      <c r="I55" s="97">
        <f>SUM(I56:I79)</f>
        <v>17759400</v>
      </c>
      <c r="J55" s="110"/>
      <c r="K55" s="111" t="s">
        <v>107</v>
      </c>
      <c r="L55" s="111"/>
      <c r="M55" s="111"/>
      <c r="N55" s="111" t="s">
        <v>107</v>
      </c>
      <c r="O55" s="28"/>
    </row>
    <row r="56" spans="1:15" s="25" customFormat="1" ht="16.5" customHeight="1">
      <c r="A56" s="22" t="s">
        <v>4</v>
      </c>
      <c r="B56" s="9"/>
      <c r="C56" s="510" t="s">
        <v>18</v>
      </c>
      <c r="D56" s="512">
        <v>14130030000000000</v>
      </c>
      <c r="E56" s="510" t="s">
        <v>108</v>
      </c>
      <c r="F56" s="510" t="s">
        <v>99</v>
      </c>
      <c r="G56" s="510" t="s">
        <v>109</v>
      </c>
      <c r="H56" s="507">
        <f aca="true" t="shared" si="3" ref="H56:H94">I56</f>
        <v>12714396</v>
      </c>
      <c r="I56" s="514">
        <f>12739000-10404-14200</f>
        <v>12714396</v>
      </c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 t="s">
        <v>76</v>
      </c>
    </row>
    <row r="57" spans="1:15" s="25" customFormat="1" ht="15.75" customHeight="1">
      <c r="A57" s="22" t="s">
        <v>5</v>
      </c>
      <c r="B57" s="9"/>
      <c r="C57" s="758" t="s">
        <v>18</v>
      </c>
      <c r="D57" s="509" t="s">
        <v>81</v>
      </c>
      <c r="E57" s="510" t="s">
        <v>108</v>
      </c>
      <c r="F57" s="758" t="s">
        <v>116</v>
      </c>
      <c r="G57" s="758" t="s">
        <v>111</v>
      </c>
      <c r="H57" s="507">
        <f t="shared" si="3"/>
        <v>2270</v>
      </c>
      <c r="I57" s="511">
        <f>2270</f>
        <v>2270</v>
      </c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/>
    </row>
    <row r="58" spans="1:15" s="25" customFormat="1" ht="12.75">
      <c r="A58" s="22" t="s">
        <v>5</v>
      </c>
      <c r="B58" s="9"/>
      <c r="C58" s="759"/>
      <c r="D58" s="14">
        <v>14130030000000000</v>
      </c>
      <c r="E58" s="9" t="s">
        <v>157</v>
      </c>
      <c r="F58" s="760"/>
      <c r="G58" s="760"/>
      <c r="H58" s="126">
        <f t="shared" si="3"/>
        <v>2400</v>
      </c>
      <c r="I58" s="78">
        <v>2400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>
      <c r="A59" s="81" t="s">
        <v>6</v>
      </c>
      <c r="B59" s="9"/>
      <c r="C59" s="6" t="s">
        <v>18</v>
      </c>
      <c r="D59" s="14">
        <v>14130030000000000</v>
      </c>
      <c r="E59" s="6" t="s">
        <v>108</v>
      </c>
      <c r="F59" s="6" t="s">
        <v>112</v>
      </c>
      <c r="G59" s="6" t="s">
        <v>113</v>
      </c>
      <c r="H59" s="126">
        <f t="shared" si="3"/>
        <v>3855000</v>
      </c>
      <c r="I59" s="78">
        <v>3855000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 t="s">
        <v>76</v>
      </c>
    </row>
    <row r="60" spans="1:15" s="25" customFormat="1" ht="12.75" hidden="1">
      <c r="A60" s="86"/>
      <c r="B60" s="12"/>
      <c r="C60" s="60"/>
      <c r="D60" s="30">
        <v>14130030000000000</v>
      </c>
      <c r="E60" s="29"/>
      <c r="F60" s="31"/>
      <c r="G60" s="31"/>
      <c r="H60" s="126">
        <f t="shared" si="3"/>
        <v>0</v>
      </c>
      <c r="I60" s="78"/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3.5" customHeight="1">
      <c r="A61" s="691" t="s">
        <v>7</v>
      </c>
      <c r="B61" s="9"/>
      <c r="C61" s="693" t="s">
        <v>18</v>
      </c>
      <c r="D61" s="9" t="s">
        <v>81</v>
      </c>
      <c r="E61" s="9" t="s">
        <v>108</v>
      </c>
      <c r="F61" s="693" t="s">
        <v>114</v>
      </c>
      <c r="G61" s="9" t="s">
        <v>115</v>
      </c>
      <c r="H61" s="126">
        <f t="shared" si="3"/>
        <v>32600</v>
      </c>
      <c r="I61" s="113">
        <v>32600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 t="s">
        <v>115</v>
      </c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>
      <c r="A66" s="692"/>
      <c r="B66" s="9"/>
      <c r="C66" s="694"/>
      <c r="D66" s="14">
        <v>14130030000000000</v>
      </c>
      <c r="E66" s="9" t="s">
        <v>108</v>
      </c>
      <c r="F66" s="694"/>
      <c r="G66" s="9" t="s">
        <v>115</v>
      </c>
      <c r="H66" s="126">
        <f t="shared" si="3"/>
        <v>50155</v>
      </c>
      <c r="I66" s="106">
        <f>30000+20155</f>
        <v>50155</v>
      </c>
      <c r="J66" s="78"/>
      <c r="K66" s="107" t="s">
        <v>76</v>
      </c>
      <c r="L66" s="107"/>
      <c r="M66" s="107"/>
      <c r="N66" s="107" t="s">
        <v>76</v>
      </c>
      <c r="O66" s="6"/>
    </row>
    <row r="67" spans="1:15" s="25" customFormat="1" ht="12.75" customHeight="1">
      <c r="A67" s="16" t="s">
        <v>8</v>
      </c>
      <c r="B67" s="9"/>
      <c r="C67" s="6" t="s">
        <v>18</v>
      </c>
      <c r="D67" s="9" t="s">
        <v>81</v>
      </c>
      <c r="E67" s="10" t="s">
        <v>108</v>
      </c>
      <c r="F67" s="11" t="s">
        <v>128</v>
      </c>
      <c r="G67" s="10" t="s">
        <v>115</v>
      </c>
      <c r="H67" s="126">
        <f t="shared" si="3"/>
        <v>102000</v>
      </c>
      <c r="I67" s="113">
        <v>102000</v>
      </c>
      <c r="J67" s="78"/>
      <c r="K67" s="107" t="s">
        <v>76</v>
      </c>
      <c r="L67" s="107"/>
      <c r="M67" s="107"/>
      <c r="N67" s="107" t="s">
        <v>76</v>
      </c>
      <c r="O67" s="6"/>
    </row>
    <row r="68" spans="1:15" s="25" customFormat="1" ht="12.75">
      <c r="A68" s="684" t="s">
        <v>12</v>
      </c>
      <c r="B68" s="9"/>
      <c r="C68" s="758" t="s">
        <v>18</v>
      </c>
      <c r="D68" s="509" t="s">
        <v>81</v>
      </c>
      <c r="E68" s="758" t="s">
        <v>108</v>
      </c>
      <c r="F68" s="758" t="s">
        <v>116</v>
      </c>
      <c r="G68" s="758" t="s">
        <v>115</v>
      </c>
      <c r="H68" s="507">
        <f t="shared" si="3"/>
        <v>248430</v>
      </c>
      <c r="I68" s="508">
        <f>216300+56000-21600-2270</f>
        <v>248430</v>
      </c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>
      <c r="A69" s="686"/>
      <c r="B69" s="9"/>
      <c r="C69" s="759"/>
      <c r="D69" s="14">
        <v>14130030000000000</v>
      </c>
      <c r="E69" s="759"/>
      <c r="F69" s="759"/>
      <c r="G69" s="759"/>
      <c r="H69" s="126">
        <f t="shared" si="3"/>
        <v>0</v>
      </c>
      <c r="I69" s="79"/>
      <c r="J69" s="78"/>
      <c r="K69" s="107" t="s">
        <v>76</v>
      </c>
      <c r="L69" s="107" t="s">
        <v>76</v>
      </c>
      <c r="M69" s="107" t="s">
        <v>76</v>
      </c>
      <c r="N69" s="107" t="s">
        <v>76</v>
      </c>
      <c r="O69" s="6"/>
    </row>
    <row r="70" spans="1:15" s="25" customFormat="1" ht="12.75">
      <c r="A70" s="22" t="s">
        <v>13</v>
      </c>
      <c r="B70" s="9"/>
      <c r="C70" s="9"/>
      <c r="D70" s="15"/>
      <c r="E70" s="9"/>
      <c r="F70" s="9" t="s">
        <v>117</v>
      </c>
      <c r="G70" s="9" t="s">
        <v>115</v>
      </c>
      <c r="H70" s="126">
        <f t="shared" si="3"/>
        <v>0</v>
      </c>
      <c r="I70" s="78"/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22" t="s">
        <v>427</v>
      </c>
      <c r="B71" s="9"/>
      <c r="C71" s="6" t="s">
        <v>18</v>
      </c>
      <c r="D71" s="9" t="s">
        <v>81</v>
      </c>
      <c r="E71" s="471" t="s">
        <v>232</v>
      </c>
      <c r="F71" s="9" t="s">
        <v>116</v>
      </c>
      <c r="G71" s="10" t="s">
        <v>115</v>
      </c>
      <c r="H71" s="126">
        <f t="shared" si="3"/>
        <v>21600</v>
      </c>
      <c r="I71" s="78">
        <v>21600</v>
      </c>
      <c r="J71" s="78"/>
      <c r="K71" s="107"/>
      <c r="L71" s="107"/>
      <c r="M71" s="107"/>
      <c r="N71" s="107"/>
      <c r="O71" s="6"/>
    </row>
    <row r="72" spans="1:15" s="25" customFormat="1" ht="25.5">
      <c r="A72" s="22" t="s">
        <v>245</v>
      </c>
      <c r="B72" s="9"/>
      <c r="C72" s="509" t="s">
        <v>18</v>
      </c>
      <c r="D72" s="512">
        <v>14130010000000000</v>
      </c>
      <c r="E72" s="509" t="s">
        <v>108</v>
      </c>
      <c r="F72" s="509" t="s">
        <v>246</v>
      </c>
      <c r="G72" s="513" t="s">
        <v>109</v>
      </c>
      <c r="H72" s="507">
        <f t="shared" si="3"/>
        <v>50104</v>
      </c>
      <c r="I72" s="511">
        <f>25500+10404+14200</f>
        <v>50104</v>
      </c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22" t="s">
        <v>14</v>
      </c>
      <c r="B73" s="9"/>
      <c r="C73" s="9" t="s">
        <v>18</v>
      </c>
      <c r="D73" s="14">
        <v>14130030000000000</v>
      </c>
      <c r="E73" s="695" t="s">
        <v>108</v>
      </c>
      <c r="F73" s="9" t="s">
        <v>118</v>
      </c>
      <c r="G73" s="9" t="s">
        <v>115</v>
      </c>
      <c r="H73" s="126">
        <f t="shared" si="3"/>
        <v>639045</v>
      </c>
      <c r="I73" s="79">
        <f>641445-2400</f>
        <v>639045</v>
      </c>
      <c r="J73" s="78"/>
      <c r="K73" s="107" t="s">
        <v>76</v>
      </c>
      <c r="L73" s="107" t="s">
        <v>76</v>
      </c>
      <c r="M73" s="107" t="s">
        <v>76</v>
      </c>
      <c r="N73" s="107" t="s">
        <v>76</v>
      </c>
      <c r="O73" s="6" t="s">
        <v>76</v>
      </c>
    </row>
    <row r="74" spans="1:15" s="25" customFormat="1" ht="51" hidden="1">
      <c r="A74" s="82" t="s">
        <v>237</v>
      </c>
      <c r="B74" s="9"/>
      <c r="C74" s="83" t="s">
        <v>18</v>
      </c>
      <c r="D74" s="9" t="s">
        <v>81</v>
      </c>
      <c r="E74" s="695"/>
      <c r="F74" s="84" t="s">
        <v>238</v>
      </c>
      <c r="G74" s="84" t="s">
        <v>115</v>
      </c>
      <c r="H74" s="126">
        <f t="shared" si="3"/>
        <v>0</v>
      </c>
      <c r="I74" s="113"/>
      <c r="J74" s="78"/>
      <c r="K74" s="107" t="s">
        <v>76</v>
      </c>
      <c r="L74" s="107" t="s">
        <v>76</v>
      </c>
      <c r="M74" s="107" t="s">
        <v>76</v>
      </c>
      <c r="N74" s="107" t="s">
        <v>76</v>
      </c>
      <c r="O74" s="6"/>
    </row>
    <row r="75" spans="1:15" s="25" customFormat="1" ht="38.25">
      <c r="A75" s="82" t="s">
        <v>239</v>
      </c>
      <c r="B75" s="9"/>
      <c r="C75" s="83" t="s">
        <v>18</v>
      </c>
      <c r="D75" s="9" t="s">
        <v>81</v>
      </c>
      <c r="E75" s="83" t="s">
        <v>108</v>
      </c>
      <c r="F75" s="84" t="s">
        <v>240</v>
      </c>
      <c r="G75" s="84" t="s">
        <v>115</v>
      </c>
      <c r="H75" s="126">
        <f t="shared" si="3"/>
        <v>1400</v>
      </c>
      <c r="I75" s="106">
        <v>1400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22" t="s">
        <v>241</v>
      </c>
      <c r="B76" s="9"/>
      <c r="C76" s="9" t="s">
        <v>18</v>
      </c>
      <c r="D76" s="14">
        <v>14130030000000000</v>
      </c>
      <c r="E76" s="10" t="s">
        <v>108</v>
      </c>
      <c r="F76" s="9" t="s">
        <v>242</v>
      </c>
      <c r="G76" s="9" t="s">
        <v>115</v>
      </c>
      <c r="H76" s="126">
        <f t="shared" si="3"/>
        <v>40000</v>
      </c>
      <c r="I76" s="376">
        <f>20000+20000</f>
        <v>40000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25.5">
      <c r="A77" s="394" t="s">
        <v>243</v>
      </c>
      <c r="B77" s="6"/>
      <c r="C77" s="6" t="s">
        <v>18</v>
      </c>
      <c r="D77" s="395">
        <v>14130030000000000</v>
      </c>
      <c r="E77" s="6" t="s">
        <v>108</v>
      </c>
      <c r="F77" s="6" t="s">
        <v>244</v>
      </c>
      <c r="G77" s="6" t="s">
        <v>115</v>
      </c>
      <c r="H77" s="126">
        <f t="shared" si="3"/>
        <v>0</v>
      </c>
      <c r="I77" s="376">
        <f>20000-20000</f>
        <v>0</v>
      </c>
      <c r="J77" s="107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12.75" hidden="1">
      <c r="A78" s="691" t="s">
        <v>188</v>
      </c>
      <c r="B78" s="9"/>
      <c r="C78" s="693" t="s">
        <v>18</v>
      </c>
      <c r="D78" s="9" t="s">
        <v>81</v>
      </c>
      <c r="E78" s="693" t="s">
        <v>108</v>
      </c>
      <c r="F78" s="693" t="s">
        <v>119</v>
      </c>
      <c r="G78" s="693" t="s">
        <v>115</v>
      </c>
      <c r="H78" s="126">
        <f t="shared" si="3"/>
        <v>0</v>
      </c>
      <c r="I78" s="78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/>
    </row>
    <row r="79" spans="1:15" s="25" customFormat="1" ht="12.75" hidden="1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0</v>
      </c>
      <c r="I79" s="79"/>
      <c r="J79" s="100"/>
      <c r="K79" s="101" t="s">
        <v>76</v>
      </c>
      <c r="L79" s="101" t="s">
        <v>76</v>
      </c>
      <c r="M79" s="101" t="s">
        <v>76</v>
      </c>
      <c r="N79" s="101" t="s">
        <v>76</v>
      </c>
      <c r="O79" s="6" t="s">
        <v>76</v>
      </c>
    </row>
    <row r="80" spans="1:15" s="25" customFormat="1" ht="27.75" customHeight="1">
      <c r="A80" s="681" t="s">
        <v>189</v>
      </c>
      <c r="B80" s="683"/>
      <c r="C80" s="27" t="s">
        <v>20</v>
      </c>
      <c r="D80" s="3"/>
      <c r="E80" s="27"/>
      <c r="F80" s="3"/>
      <c r="G80" s="3"/>
      <c r="H80" s="124">
        <f t="shared" si="3"/>
        <v>3949039</v>
      </c>
      <c r="I80" s="97">
        <f>SUM(I81:I97)</f>
        <v>3949039</v>
      </c>
      <c r="J80" s="110"/>
      <c r="K80" s="111" t="s">
        <v>107</v>
      </c>
      <c r="L80" s="111"/>
      <c r="M80" s="111"/>
      <c r="N80" s="111" t="s">
        <v>107</v>
      </c>
      <c r="O80" s="28"/>
    </row>
    <row r="81" spans="1:15" s="25" customFormat="1" ht="15" customHeight="1">
      <c r="A81" s="22" t="s">
        <v>9</v>
      </c>
      <c r="B81" s="9"/>
      <c r="C81" s="9" t="s">
        <v>20</v>
      </c>
      <c r="D81" s="9" t="s">
        <v>81</v>
      </c>
      <c r="E81" s="9" t="s">
        <v>108</v>
      </c>
      <c r="F81" s="9" t="s">
        <v>120</v>
      </c>
      <c r="G81" s="9" t="s">
        <v>115</v>
      </c>
      <c r="H81" s="126">
        <f t="shared" si="3"/>
        <v>934139</v>
      </c>
      <c r="I81" s="78">
        <f>1083500-149361</f>
        <v>934139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5" customHeight="1">
      <c r="A82" s="82" t="s">
        <v>8</v>
      </c>
      <c r="B82" s="9"/>
      <c r="C82" s="9" t="s">
        <v>20</v>
      </c>
      <c r="D82" s="9" t="s">
        <v>81</v>
      </c>
      <c r="E82" s="10" t="s">
        <v>108</v>
      </c>
      <c r="F82" s="10" t="s">
        <v>128</v>
      </c>
      <c r="G82" s="10" t="s">
        <v>115</v>
      </c>
      <c r="H82" s="126">
        <f t="shared" si="3"/>
        <v>17547.48</v>
      </c>
      <c r="I82" s="78">
        <v>17547.48</v>
      </c>
      <c r="J82" s="78"/>
      <c r="K82" s="107"/>
      <c r="L82" s="107"/>
      <c r="M82" s="107"/>
      <c r="N82" s="107"/>
      <c r="O82" s="6"/>
    </row>
    <row r="83" spans="1:15" s="25" customFormat="1" ht="15" customHeight="1">
      <c r="A83" s="691" t="s">
        <v>11</v>
      </c>
      <c r="B83" s="9"/>
      <c r="C83" s="693" t="s">
        <v>20</v>
      </c>
      <c r="D83" s="9" t="s">
        <v>81</v>
      </c>
      <c r="E83" s="693" t="s">
        <v>108</v>
      </c>
      <c r="F83" s="693" t="s">
        <v>121</v>
      </c>
      <c r="G83" s="693" t="s">
        <v>115</v>
      </c>
      <c r="H83" s="126">
        <f t="shared" si="3"/>
        <v>231900</v>
      </c>
      <c r="I83" s="112">
        <f>246900-15000</f>
        <v>231900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2020000</v>
      </c>
      <c r="I84" s="112">
        <v>2020000</v>
      </c>
      <c r="J84" s="362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691" t="s">
        <v>12</v>
      </c>
      <c r="B85" s="9"/>
      <c r="C85" s="693" t="s">
        <v>20</v>
      </c>
      <c r="D85" s="9" t="s">
        <v>81</v>
      </c>
      <c r="E85" s="693" t="s">
        <v>108</v>
      </c>
      <c r="F85" s="693" t="s">
        <v>116</v>
      </c>
      <c r="G85" s="693" t="s">
        <v>115</v>
      </c>
      <c r="H85" s="126">
        <f t="shared" si="3"/>
        <v>82352.52</v>
      </c>
      <c r="I85" s="78">
        <f>99900-17547.48</f>
        <v>82352.52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692"/>
      <c r="B86" s="9"/>
      <c r="C86" s="694"/>
      <c r="D86" s="14">
        <v>14130030000000000</v>
      </c>
      <c r="E86" s="694"/>
      <c r="F86" s="694"/>
      <c r="G86" s="694"/>
      <c r="H86" s="126">
        <f t="shared" si="3"/>
        <v>534800</v>
      </c>
      <c r="I86" s="115">
        <v>534800</v>
      </c>
      <c r="J86" s="78"/>
      <c r="K86" s="107" t="s">
        <v>76</v>
      </c>
      <c r="L86" s="107"/>
      <c r="M86" s="107"/>
      <c r="N86" s="107" t="s">
        <v>76</v>
      </c>
      <c r="O86" s="6"/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122</v>
      </c>
      <c r="H87" s="126">
        <f t="shared" si="3"/>
        <v>55400</v>
      </c>
      <c r="I87" s="78">
        <v>55400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22" t="s">
        <v>249</v>
      </c>
      <c r="B88" s="9"/>
      <c r="C88" s="9" t="s">
        <v>20</v>
      </c>
      <c r="D88" s="9" t="s">
        <v>81</v>
      </c>
      <c r="E88" s="9" t="s">
        <v>108</v>
      </c>
      <c r="F88" s="9" t="s">
        <v>206</v>
      </c>
      <c r="G88" s="9" t="s">
        <v>250</v>
      </c>
      <c r="H88" s="126">
        <f t="shared" si="3"/>
        <v>4800</v>
      </c>
      <c r="I88" s="79">
        <v>4800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 hidden="1">
      <c r="A89" s="22" t="s">
        <v>14</v>
      </c>
      <c r="B89" s="9"/>
      <c r="C89" s="9" t="s">
        <v>20</v>
      </c>
      <c r="D89" s="9" t="s">
        <v>81</v>
      </c>
      <c r="E89" s="9" t="s">
        <v>124</v>
      </c>
      <c r="F89" s="9" t="s">
        <v>118</v>
      </c>
      <c r="G89" s="9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51" hidden="1">
      <c r="A90" s="82" t="s">
        <v>237</v>
      </c>
      <c r="B90" s="9"/>
      <c r="C90" s="83" t="s">
        <v>18</v>
      </c>
      <c r="D90" s="9" t="s">
        <v>81</v>
      </c>
      <c r="E90" s="83" t="s">
        <v>124</v>
      </c>
      <c r="F90" s="84" t="s">
        <v>238</v>
      </c>
      <c r="G90" s="84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38.25" hidden="1">
      <c r="A91" s="82" t="s">
        <v>239</v>
      </c>
      <c r="B91" s="9"/>
      <c r="C91" s="83" t="s">
        <v>18</v>
      </c>
      <c r="D91" s="9" t="s">
        <v>81</v>
      </c>
      <c r="E91" s="83" t="s">
        <v>124</v>
      </c>
      <c r="F91" s="84" t="s">
        <v>240</v>
      </c>
      <c r="G91" s="84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85" t="s">
        <v>248</v>
      </c>
      <c r="B92" s="9"/>
      <c r="C92" s="9" t="s">
        <v>20</v>
      </c>
      <c r="D92" s="9" t="s">
        <v>81</v>
      </c>
      <c r="E92" s="83" t="s">
        <v>108</v>
      </c>
      <c r="F92" s="10" t="s">
        <v>247</v>
      </c>
      <c r="G92" s="84" t="s">
        <v>115</v>
      </c>
      <c r="H92" s="126">
        <f t="shared" si="3"/>
        <v>20000</v>
      </c>
      <c r="I92" s="78">
        <f>10000+10000+15000-15000</f>
        <v>20000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>
      <c r="A93" s="22" t="s">
        <v>241</v>
      </c>
      <c r="B93" s="9"/>
      <c r="C93" s="9" t="s">
        <v>20</v>
      </c>
      <c r="D93" s="9" t="s">
        <v>81</v>
      </c>
      <c r="E93" s="9" t="s">
        <v>108</v>
      </c>
      <c r="F93" s="9" t="s">
        <v>242</v>
      </c>
      <c r="G93" s="9" t="s">
        <v>115</v>
      </c>
      <c r="H93" s="126">
        <f t="shared" si="3"/>
        <v>48100</v>
      </c>
      <c r="I93" s="78">
        <f>33100+15000</f>
        <v>48100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25.5" hidden="1">
      <c r="A94" s="85" t="s">
        <v>243</v>
      </c>
      <c r="B94" s="57"/>
      <c r="C94" s="9" t="s">
        <v>20</v>
      </c>
      <c r="D94" s="9" t="s">
        <v>81</v>
      </c>
      <c r="E94" s="9" t="s">
        <v>108</v>
      </c>
      <c r="F94" s="9" t="s">
        <v>244</v>
      </c>
      <c r="G94" s="9" t="s">
        <v>115</v>
      </c>
      <c r="H94" s="126">
        <f t="shared" si="3"/>
        <v>0</v>
      </c>
      <c r="I94" s="78">
        <f>10000-10000</f>
        <v>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/>
      <c r="B96" s="9"/>
      <c r="C96" s="9"/>
      <c r="D96" s="9"/>
      <c r="E96" s="9"/>
      <c r="F96" s="9"/>
      <c r="G96" s="9"/>
      <c r="H96" s="126"/>
      <c r="I96" s="78"/>
      <c r="J96" s="78"/>
      <c r="K96" s="107"/>
      <c r="L96" s="107"/>
      <c r="M96" s="107"/>
      <c r="N96" s="107"/>
      <c r="O96" s="6"/>
    </row>
    <row r="97" spans="1:15" s="25" customFormat="1" ht="12.75" hidden="1">
      <c r="A97" s="22" t="s">
        <v>188</v>
      </c>
      <c r="B97" s="9"/>
      <c r="C97" s="9" t="s">
        <v>20</v>
      </c>
      <c r="D97" s="9" t="s">
        <v>81</v>
      </c>
      <c r="E97" s="9" t="s">
        <v>108</v>
      </c>
      <c r="F97" s="9" t="s">
        <v>119</v>
      </c>
      <c r="G97" s="9" t="s">
        <v>115</v>
      </c>
      <c r="H97" s="126">
        <f>I97</f>
        <v>0</v>
      </c>
      <c r="I97" s="78"/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3.5">
      <c r="A98" s="681" t="s">
        <v>125</v>
      </c>
      <c r="B98" s="683"/>
      <c r="C98" s="27" t="s">
        <v>21</v>
      </c>
      <c r="D98" s="3"/>
      <c r="E98" s="27"/>
      <c r="F98" s="3"/>
      <c r="G98" s="3"/>
      <c r="H98" s="124">
        <f>K98</f>
        <v>653340</v>
      </c>
      <c r="I98" s="98"/>
      <c r="J98" s="97"/>
      <c r="K98" s="97">
        <f>K101</f>
        <v>653340</v>
      </c>
      <c r="L98" s="110"/>
      <c r="M98" s="110"/>
      <c r="N98" s="111" t="s">
        <v>107</v>
      </c>
      <c r="O98" s="28"/>
    </row>
    <row r="99" spans="1:15" s="25" customFormat="1" ht="12.75" hidden="1">
      <c r="A99" s="22" t="s">
        <v>4</v>
      </c>
      <c r="B99" s="9"/>
      <c r="C99" s="9"/>
      <c r="D99" s="9"/>
      <c r="E99" s="9"/>
      <c r="F99" s="9" t="s">
        <v>99</v>
      </c>
      <c r="G99" s="9" t="s">
        <v>109</v>
      </c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2.75" hidden="1">
      <c r="A100" s="22" t="s">
        <v>5</v>
      </c>
      <c r="B100" s="9"/>
      <c r="C100" s="9"/>
      <c r="D100" s="9"/>
      <c r="E100" s="9"/>
      <c r="F100" s="9"/>
      <c r="G100" s="9"/>
      <c r="H100" s="126">
        <f>I100</f>
        <v>0</v>
      </c>
      <c r="I100" s="78"/>
      <c r="J100" s="78"/>
      <c r="K100" s="116" t="s">
        <v>76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3.5">
      <c r="A101" s="22" t="s">
        <v>12</v>
      </c>
      <c r="B101" s="9"/>
      <c r="C101" s="41" t="s">
        <v>21</v>
      </c>
      <c r="D101" s="9" t="s">
        <v>89</v>
      </c>
      <c r="E101" s="9" t="s">
        <v>126</v>
      </c>
      <c r="F101" s="9" t="s">
        <v>116</v>
      </c>
      <c r="G101" s="9" t="s">
        <v>115</v>
      </c>
      <c r="H101" s="126">
        <f aca="true" t="shared" si="4" ref="H101:H116">K101</f>
        <v>653340</v>
      </c>
      <c r="I101" s="107" t="s">
        <v>76</v>
      </c>
      <c r="J101" s="78"/>
      <c r="K101" s="391">
        <f>676900-23560</f>
        <v>653340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8.75" customHeight="1" hidden="1">
      <c r="A102" s="687" t="s">
        <v>127</v>
      </c>
      <c r="B102" s="688"/>
      <c r="C102" s="27" t="s">
        <v>22</v>
      </c>
      <c r="D102" s="3"/>
      <c r="E102" s="3"/>
      <c r="F102" s="3"/>
      <c r="G102" s="3"/>
      <c r="H102" s="131">
        <f t="shared" si="4"/>
        <v>0</v>
      </c>
      <c r="I102" s="117"/>
      <c r="J102" s="110"/>
      <c r="K102" s="118">
        <f>K103</f>
        <v>0</v>
      </c>
      <c r="L102" s="117"/>
      <c r="M102" s="117"/>
      <c r="N102" s="117"/>
      <c r="O102" s="6"/>
    </row>
    <row r="103" spans="1:15" s="25" customFormat="1" ht="13.5" customHeight="1" hidden="1">
      <c r="A103" s="22" t="s">
        <v>12</v>
      </c>
      <c r="B103" s="40"/>
      <c r="C103" s="41" t="s">
        <v>22</v>
      </c>
      <c r="D103" s="9" t="s">
        <v>81</v>
      </c>
      <c r="E103" s="9" t="s">
        <v>108</v>
      </c>
      <c r="F103" s="9" t="s">
        <v>116</v>
      </c>
      <c r="G103" s="9" t="s">
        <v>115</v>
      </c>
      <c r="H103" s="126">
        <f t="shared" si="4"/>
        <v>0</v>
      </c>
      <c r="I103" s="107" t="s">
        <v>76</v>
      </c>
      <c r="J103" s="78"/>
      <c r="K103" s="116"/>
      <c r="L103" s="107"/>
      <c r="M103" s="107"/>
      <c r="N103" s="107" t="s">
        <v>76</v>
      </c>
      <c r="O103" s="6"/>
    </row>
    <row r="104" spans="1:15" s="25" customFormat="1" ht="28.5" customHeight="1">
      <c r="A104" s="39" t="s">
        <v>190</v>
      </c>
      <c r="B104" s="55"/>
      <c r="C104" s="27" t="s">
        <v>41</v>
      </c>
      <c r="D104" s="3"/>
      <c r="E104" s="3"/>
      <c r="F104" s="3"/>
      <c r="G104" s="3"/>
      <c r="H104" s="124">
        <f t="shared" si="4"/>
        <v>24000</v>
      </c>
      <c r="I104" s="119"/>
      <c r="J104" s="97"/>
      <c r="K104" s="120">
        <f>K105</f>
        <v>24000</v>
      </c>
      <c r="L104" s="117"/>
      <c r="M104" s="117"/>
      <c r="N104" s="117"/>
      <c r="O104" s="6"/>
    </row>
    <row r="105" spans="1:15" s="25" customFormat="1" ht="12.75">
      <c r="A105" s="22" t="s">
        <v>12</v>
      </c>
      <c r="B105" s="40"/>
      <c r="C105" s="9" t="s">
        <v>41</v>
      </c>
      <c r="D105" s="9" t="s">
        <v>81</v>
      </c>
      <c r="E105" s="9" t="s">
        <v>154</v>
      </c>
      <c r="F105" s="9" t="s">
        <v>116</v>
      </c>
      <c r="G105" s="9" t="s">
        <v>115</v>
      </c>
      <c r="H105" s="126">
        <f t="shared" si="4"/>
        <v>24000</v>
      </c>
      <c r="I105" s="107" t="s">
        <v>76</v>
      </c>
      <c r="J105" s="78"/>
      <c r="K105" s="116">
        <v>24000</v>
      </c>
      <c r="L105" s="107"/>
      <c r="M105" s="107"/>
      <c r="N105" s="107" t="s">
        <v>76</v>
      </c>
      <c r="O105" s="6"/>
    </row>
    <row r="106" spans="1:15" s="25" customFormat="1" ht="36" customHeight="1">
      <c r="A106" s="681" t="s">
        <v>374</v>
      </c>
      <c r="B106" s="683"/>
      <c r="C106" s="27" t="s">
        <v>373</v>
      </c>
      <c r="D106" s="3"/>
      <c r="E106" s="3"/>
      <c r="F106" s="3"/>
      <c r="G106" s="3"/>
      <c r="H106" s="435">
        <f t="shared" si="4"/>
        <v>60000</v>
      </c>
      <c r="I106" s="436" t="s">
        <v>76</v>
      </c>
      <c r="J106" s="437"/>
      <c r="K106" s="435">
        <f>SUM(K107:K110)</f>
        <v>60000</v>
      </c>
      <c r="L106" s="435">
        <f>SUM(L107:L110)</f>
        <v>0</v>
      </c>
      <c r="M106" s="435">
        <f>SUM(M107:M110)</f>
        <v>0</v>
      </c>
      <c r="N106" s="435"/>
      <c r="O106" s="6"/>
    </row>
    <row r="107" spans="1:15" s="25" customFormat="1" ht="12.75">
      <c r="A107" s="8" t="s">
        <v>335</v>
      </c>
      <c r="B107" s="40"/>
      <c r="C107" s="60" t="s">
        <v>373</v>
      </c>
      <c r="D107" s="434" t="s">
        <v>332</v>
      </c>
      <c r="E107" s="9" t="s">
        <v>108</v>
      </c>
      <c r="F107" s="9" t="s">
        <v>116</v>
      </c>
      <c r="G107" s="9" t="s">
        <v>115</v>
      </c>
      <c r="H107" s="433">
        <f t="shared" si="4"/>
        <v>43200</v>
      </c>
      <c r="I107" s="107"/>
      <c r="J107" s="78"/>
      <c r="K107" s="116">
        <v>43200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214</v>
      </c>
      <c r="E108" s="9" t="s">
        <v>108</v>
      </c>
      <c r="F108" s="9" t="s">
        <v>116</v>
      </c>
      <c r="G108" s="9" t="s">
        <v>115</v>
      </c>
      <c r="H108" s="433">
        <f t="shared" si="4"/>
        <v>4800</v>
      </c>
      <c r="I108" s="107"/>
      <c r="J108" s="78"/>
      <c r="K108" s="116">
        <v>4800</v>
      </c>
      <c r="L108" s="107"/>
      <c r="M108" s="107"/>
      <c r="N108" s="107"/>
      <c r="O108" s="6"/>
    </row>
    <row r="109" spans="1:15" s="25" customFormat="1" ht="12.75">
      <c r="A109" s="8" t="s">
        <v>336</v>
      </c>
      <c r="B109" s="40"/>
      <c r="C109" s="60" t="s">
        <v>373</v>
      </c>
      <c r="D109" s="434" t="s">
        <v>333</v>
      </c>
      <c r="E109" s="9" t="s">
        <v>108</v>
      </c>
      <c r="F109" s="9" t="s">
        <v>116</v>
      </c>
      <c r="G109" s="9" t="s">
        <v>115</v>
      </c>
      <c r="H109" s="433">
        <f t="shared" si="4"/>
        <v>10800</v>
      </c>
      <c r="I109" s="107"/>
      <c r="J109" s="78"/>
      <c r="K109" s="116">
        <v>10800</v>
      </c>
      <c r="L109" s="107"/>
      <c r="M109" s="107"/>
      <c r="N109" s="107"/>
      <c r="O109" s="6"/>
    </row>
    <row r="110" spans="1:15" s="25" customFormat="1" ht="12.75">
      <c r="A110" s="8" t="s">
        <v>337</v>
      </c>
      <c r="B110" s="40"/>
      <c r="C110" s="60" t="s">
        <v>373</v>
      </c>
      <c r="D110" s="434" t="s">
        <v>216</v>
      </c>
      <c r="E110" s="9" t="s">
        <v>108</v>
      </c>
      <c r="F110" s="9" t="s">
        <v>116</v>
      </c>
      <c r="G110" s="9" t="s">
        <v>115</v>
      </c>
      <c r="H110" s="433">
        <f t="shared" si="4"/>
        <v>1200</v>
      </c>
      <c r="I110" s="107"/>
      <c r="J110" s="78"/>
      <c r="K110" s="116">
        <v>1200</v>
      </c>
      <c r="L110" s="107"/>
      <c r="M110" s="107"/>
      <c r="N110" s="107"/>
      <c r="O110" s="6"/>
    </row>
    <row r="111" spans="1:15" s="25" customFormat="1" ht="41.25" customHeight="1">
      <c r="A111" s="681" t="s">
        <v>334</v>
      </c>
      <c r="B111" s="683"/>
      <c r="C111" s="27" t="s">
        <v>211</v>
      </c>
      <c r="D111" s="3"/>
      <c r="E111" s="3"/>
      <c r="F111" s="3"/>
      <c r="G111" s="3"/>
      <c r="H111" s="124">
        <f t="shared" si="4"/>
        <v>80000</v>
      </c>
      <c r="I111" s="117" t="s">
        <v>76</v>
      </c>
      <c r="J111" s="110"/>
      <c r="K111" s="97">
        <f>SUM(K112:K116)</f>
        <v>80000</v>
      </c>
      <c r="L111" s="117"/>
      <c r="M111" s="117"/>
      <c r="N111" s="117" t="s">
        <v>76</v>
      </c>
      <c r="O111" s="6"/>
    </row>
    <row r="112" spans="1:15" s="25" customFormat="1" ht="12.75">
      <c r="A112" s="22" t="s">
        <v>12</v>
      </c>
      <c r="B112" s="57"/>
      <c r="C112" s="9" t="s">
        <v>204</v>
      </c>
      <c r="D112" s="9" t="s">
        <v>81</v>
      </c>
      <c r="E112" s="9" t="s">
        <v>108</v>
      </c>
      <c r="F112" s="9" t="s">
        <v>116</v>
      </c>
      <c r="G112" s="9" t="s">
        <v>115</v>
      </c>
      <c r="H112" s="126">
        <f t="shared" si="4"/>
        <v>80000</v>
      </c>
      <c r="I112" s="107" t="s">
        <v>76</v>
      </c>
      <c r="J112" s="107"/>
      <c r="K112" s="116">
        <v>80000</v>
      </c>
      <c r="L112" s="107"/>
      <c r="M112" s="107"/>
      <c r="N112" s="107" t="s">
        <v>76</v>
      </c>
      <c r="O112" s="6"/>
    </row>
    <row r="113" spans="1:15" s="25" customFormat="1" ht="12.75">
      <c r="A113" s="8" t="s">
        <v>335</v>
      </c>
      <c r="B113" s="9"/>
      <c r="C113" s="9" t="s">
        <v>211</v>
      </c>
      <c r="D113" s="393" t="s">
        <v>332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109"/>
      <c r="L113" s="107"/>
      <c r="M113" s="107"/>
      <c r="N113" s="107" t="s">
        <v>76</v>
      </c>
      <c r="O113" s="64" t="s">
        <v>76</v>
      </c>
    </row>
    <row r="114" spans="1:15" s="25" customFormat="1" ht="12.75">
      <c r="A114" s="8" t="s">
        <v>336</v>
      </c>
      <c r="B114" s="9"/>
      <c r="C114" s="9" t="s">
        <v>211</v>
      </c>
      <c r="D114" s="393" t="s">
        <v>214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336</v>
      </c>
      <c r="B115" s="9"/>
      <c r="C115" s="9" t="s">
        <v>211</v>
      </c>
      <c r="D115" s="393" t="s">
        <v>333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12.75">
      <c r="A116" s="8" t="s">
        <v>337</v>
      </c>
      <c r="B116" s="9"/>
      <c r="C116" s="9" t="s">
        <v>211</v>
      </c>
      <c r="D116" s="393" t="s">
        <v>216</v>
      </c>
      <c r="E116" s="9" t="s">
        <v>108</v>
      </c>
      <c r="F116" s="9" t="s">
        <v>116</v>
      </c>
      <c r="G116" s="9" t="s">
        <v>115</v>
      </c>
      <c r="H116" s="126">
        <f t="shared" si="4"/>
        <v>0</v>
      </c>
      <c r="I116" s="107" t="s">
        <v>76</v>
      </c>
      <c r="J116" s="78"/>
      <c r="K116" s="78"/>
      <c r="L116" s="107"/>
      <c r="M116" s="107"/>
      <c r="N116" s="107" t="s">
        <v>76</v>
      </c>
      <c r="O116" s="6"/>
    </row>
    <row r="117" spans="1:15" s="25" customFormat="1" ht="41.25" customHeight="1">
      <c r="A117" s="681" t="s">
        <v>360</v>
      </c>
      <c r="B117" s="683"/>
      <c r="C117" s="27" t="s">
        <v>51</v>
      </c>
      <c r="D117" s="43"/>
      <c r="E117" s="42"/>
      <c r="F117" s="42"/>
      <c r="G117" s="42"/>
      <c r="H117" s="124"/>
      <c r="I117" s="119"/>
      <c r="J117" s="97"/>
      <c r="K117" s="120">
        <f>SUM(K119:K127)</f>
        <v>411025.7</v>
      </c>
      <c r="L117" s="119"/>
      <c r="M117" s="119"/>
      <c r="N117" s="119"/>
      <c r="O117" s="6"/>
    </row>
    <row r="118" spans="1:15" s="25" customFormat="1" ht="12.75" hidden="1">
      <c r="A118" s="61" t="s">
        <v>11</v>
      </c>
      <c r="B118" s="59"/>
      <c r="C118" s="59" t="s">
        <v>51</v>
      </c>
      <c r="D118" s="59" t="s">
        <v>81</v>
      </c>
      <c r="E118" s="59" t="s">
        <v>218</v>
      </c>
      <c r="F118" s="59" t="s">
        <v>121</v>
      </c>
      <c r="G118" s="59" t="s">
        <v>115</v>
      </c>
      <c r="H118" s="127">
        <f aca="true" t="shared" si="5" ref="H118:H127">K118</f>
        <v>0</v>
      </c>
      <c r="I118" s="101" t="s">
        <v>76</v>
      </c>
      <c r="J118" s="102"/>
      <c r="K118" s="104"/>
      <c r="L118" s="102"/>
      <c r="M118" s="100"/>
      <c r="N118" s="101" t="s">
        <v>76</v>
      </c>
      <c r="O118" s="6"/>
    </row>
    <row r="119" spans="1:15" s="25" customFormat="1" ht="12.75">
      <c r="A119" s="684" t="s">
        <v>12</v>
      </c>
      <c r="B119" s="9"/>
      <c r="C119" s="678" t="s">
        <v>51</v>
      </c>
      <c r="D119" s="9" t="s">
        <v>81</v>
      </c>
      <c r="E119" s="678" t="s">
        <v>218</v>
      </c>
      <c r="F119" s="678" t="s">
        <v>116</v>
      </c>
      <c r="G119" s="678" t="s">
        <v>115</v>
      </c>
      <c r="H119" s="126">
        <f t="shared" si="5"/>
        <v>201123.7</v>
      </c>
      <c r="I119" s="107" t="s">
        <v>76</v>
      </c>
      <c r="J119" s="107"/>
      <c r="K119" s="116">
        <f>195152.7+2985.5+2985.5</f>
        <v>201123.7</v>
      </c>
      <c r="L119" s="107"/>
      <c r="M119" s="107"/>
      <c r="N119" s="107" t="s">
        <v>76</v>
      </c>
      <c r="O119" s="6"/>
    </row>
    <row r="120" spans="1:15" s="25" customFormat="1" ht="12.75">
      <c r="A120" s="685"/>
      <c r="B120" s="9"/>
      <c r="C120" s="679"/>
      <c r="D120" s="9" t="s">
        <v>219</v>
      </c>
      <c r="E120" s="679"/>
      <c r="F120" s="679"/>
      <c r="G120" s="679"/>
      <c r="H120" s="126">
        <f t="shared" si="5"/>
        <v>188911.8</v>
      </c>
      <c r="I120" s="107" t="s">
        <v>76</v>
      </c>
      <c r="J120" s="107"/>
      <c r="K120" s="116">
        <f>148024.8+20443.5+20443.5</f>
        <v>188911.8</v>
      </c>
      <c r="L120" s="107"/>
      <c r="M120" s="107"/>
      <c r="N120" s="107" t="s">
        <v>76</v>
      </c>
      <c r="O120" s="6"/>
    </row>
    <row r="121" spans="1:15" s="25" customFormat="1" ht="12.75">
      <c r="A121" s="686"/>
      <c r="B121" s="9"/>
      <c r="C121" s="680"/>
      <c r="D121" s="9" t="s">
        <v>196</v>
      </c>
      <c r="E121" s="680"/>
      <c r="F121" s="680"/>
      <c r="G121" s="680"/>
      <c r="H121" s="126">
        <f t="shared" si="5"/>
        <v>12136.6</v>
      </c>
      <c r="I121" s="107"/>
      <c r="J121" s="107"/>
      <c r="K121" s="116">
        <f>7593.6+2271.5+2271.5</f>
        <v>12136.6</v>
      </c>
      <c r="L121" s="107"/>
      <c r="M121" s="107"/>
      <c r="N121" s="107" t="s">
        <v>76</v>
      </c>
      <c r="O121" s="6"/>
    </row>
    <row r="122" spans="1:15" s="25" customFormat="1" ht="12.75">
      <c r="A122" s="431" t="s">
        <v>362</v>
      </c>
      <c r="B122" s="9"/>
      <c r="C122" s="9" t="s">
        <v>51</v>
      </c>
      <c r="D122" s="9" t="s">
        <v>196</v>
      </c>
      <c r="E122" s="9" t="s">
        <v>218</v>
      </c>
      <c r="F122" s="9" t="s">
        <v>361</v>
      </c>
      <c r="G122" s="9" t="s">
        <v>115</v>
      </c>
      <c r="H122" s="126">
        <f t="shared" si="5"/>
        <v>2272.2</v>
      </c>
      <c r="I122" s="107"/>
      <c r="J122" s="107"/>
      <c r="K122" s="116">
        <v>2272.2</v>
      </c>
      <c r="L122" s="107"/>
      <c r="M122" s="107"/>
      <c r="N122" s="107" t="s">
        <v>76</v>
      </c>
      <c r="O122" s="6"/>
    </row>
    <row r="123" spans="1:15" s="25" customFormat="1" ht="39.75" customHeight="1">
      <c r="A123" s="431" t="s">
        <v>363</v>
      </c>
      <c r="B123" s="9"/>
      <c r="C123" s="9" t="s">
        <v>51</v>
      </c>
      <c r="D123" s="9" t="s">
        <v>196</v>
      </c>
      <c r="E123" s="9" t="s">
        <v>218</v>
      </c>
      <c r="F123" s="9" t="s">
        <v>240</v>
      </c>
      <c r="G123" s="9" t="s">
        <v>115</v>
      </c>
      <c r="H123" s="126">
        <f t="shared" si="5"/>
        <v>2625</v>
      </c>
      <c r="I123" s="107"/>
      <c r="J123" s="107"/>
      <c r="K123" s="116">
        <v>2625</v>
      </c>
      <c r="L123" s="107"/>
      <c r="M123" s="107"/>
      <c r="N123" s="107" t="s">
        <v>76</v>
      </c>
      <c r="O123" s="6"/>
    </row>
    <row r="124" spans="1:15" s="25" customFormat="1" ht="28.5" customHeight="1">
      <c r="A124" s="431" t="s">
        <v>364</v>
      </c>
      <c r="B124" s="9"/>
      <c r="C124" s="9" t="s">
        <v>51</v>
      </c>
      <c r="D124" s="9" t="s">
        <v>196</v>
      </c>
      <c r="E124" s="9" t="s">
        <v>218</v>
      </c>
      <c r="F124" s="9" t="s">
        <v>242</v>
      </c>
      <c r="G124" s="9" t="s">
        <v>115</v>
      </c>
      <c r="H124" s="126">
        <f t="shared" si="5"/>
        <v>3956.4</v>
      </c>
      <c r="I124" s="107"/>
      <c r="J124" s="107"/>
      <c r="K124" s="116">
        <v>3956.4</v>
      </c>
      <c r="L124" s="107"/>
      <c r="M124" s="107"/>
      <c r="N124" s="107" t="s">
        <v>76</v>
      </c>
      <c r="O124" s="6"/>
    </row>
    <row r="125" spans="1:15" s="25" customFormat="1" ht="12.75" hidden="1">
      <c r="A125" s="22" t="s">
        <v>359</v>
      </c>
      <c r="B125" s="9"/>
      <c r="C125" s="9" t="s">
        <v>51</v>
      </c>
      <c r="D125" s="9" t="s">
        <v>81</v>
      </c>
      <c r="E125" s="9" t="s">
        <v>218</v>
      </c>
      <c r="F125" s="9" t="s">
        <v>118</v>
      </c>
      <c r="G125" s="9" t="s">
        <v>115</v>
      </c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4" t="s">
        <v>221</v>
      </c>
      <c r="B126" s="9"/>
      <c r="C126" s="678" t="s">
        <v>51</v>
      </c>
      <c r="D126" s="9" t="s">
        <v>81</v>
      </c>
      <c r="E126" s="678" t="s">
        <v>218</v>
      </c>
      <c r="F126" s="678" t="s">
        <v>119</v>
      </c>
      <c r="G126" s="678" t="s">
        <v>115</v>
      </c>
      <c r="H126" s="126">
        <f t="shared" si="5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2.75" hidden="1">
      <c r="A127" s="686"/>
      <c r="B127" s="9"/>
      <c r="C127" s="680"/>
      <c r="D127" s="9" t="s">
        <v>196</v>
      </c>
      <c r="E127" s="680"/>
      <c r="F127" s="680"/>
      <c r="G127" s="680"/>
      <c r="H127" s="126">
        <f t="shared" si="5"/>
        <v>0</v>
      </c>
      <c r="I127" s="107" t="s">
        <v>76</v>
      </c>
      <c r="J127" s="107"/>
      <c r="K127" s="116"/>
      <c r="L127" s="101"/>
      <c r="M127" s="101"/>
      <c r="N127" s="101" t="s">
        <v>76</v>
      </c>
      <c r="O127" s="6"/>
    </row>
    <row r="128" spans="1:15" s="25" customFormat="1" ht="15" customHeight="1">
      <c r="A128" s="681" t="s">
        <v>210</v>
      </c>
      <c r="B128" s="683"/>
      <c r="C128" s="27" t="s">
        <v>163</v>
      </c>
      <c r="D128" s="44"/>
      <c r="E128" s="3"/>
      <c r="F128" s="3"/>
      <c r="G128" s="3"/>
      <c r="H128" s="131"/>
      <c r="I128" s="117"/>
      <c r="J128" s="110"/>
      <c r="K128" s="120">
        <f>K129+K130</f>
        <v>950000</v>
      </c>
      <c r="L128" s="117"/>
      <c r="M128" s="117"/>
      <c r="N128" s="117"/>
      <c r="O128" s="6"/>
    </row>
    <row r="129" spans="1:15" s="25" customFormat="1" ht="15.75" customHeight="1">
      <c r="A129" s="22" t="s">
        <v>11</v>
      </c>
      <c r="B129" s="40"/>
      <c r="C129" s="41" t="s">
        <v>163</v>
      </c>
      <c r="D129" s="6" t="s">
        <v>162</v>
      </c>
      <c r="E129" s="9" t="s">
        <v>157</v>
      </c>
      <c r="F129" s="46">
        <v>225</v>
      </c>
      <c r="G129" s="9" t="s">
        <v>115</v>
      </c>
      <c r="H129" s="129" t="s">
        <v>76</v>
      </c>
      <c r="I129" s="107" t="s">
        <v>76</v>
      </c>
      <c r="J129" s="78"/>
      <c r="K129" s="116">
        <v>950000</v>
      </c>
      <c r="L129" s="107"/>
      <c r="M129" s="107"/>
      <c r="N129" s="107" t="s">
        <v>76</v>
      </c>
      <c r="O129" s="6"/>
    </row>
    <row r="130" spans="1:15" s="25" customFormat="1" ht="13.5" hidden="1">
      <c r="A130" s="47" t="s">
        <v>14</v>
      </c>
      <c r="B130" s="40"/>
      <c r="C130" s="41" t="s">
        <v>163</v>
      </c>
      <c r="D130" s="6" t="s">
        <v>162</v>
      </c>
      <c r="E130" s="9" t="s">
        <v>157</v>
      </c>
      <c r="F130" s="9" t="s">
        <v>118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15" customHeight="1" hidden="1">
      <c r="A131" s="681" t="s">
        <v>177</v>
      </c>
      <c r="B131" s="683"/>
      <c r="C131" s="27" t="s">
        <v>23</v>
      </c>
      <c r="D131" s="44"/>
      <c r="E131" s="3"/>
      <c r="F131" s="3"/>
      <c r="G131" s="3"/>
      <c r="H131" s="131"/>
      <c r="I131" s="117"/>
      <c r="J131" s="110"/>
      <c r="K131" s="118">
        <f>K132</f>
        <v>0</v>
      </c>
      <c r="L131" s="117"/>
      <c r="M131" s="117"/>
      <c r="N131" s="117"/>
      <c r="O131" s="6"/>
    </row>
    <row r="132" spans="1:15" s="25" customFormat="1" ht="15" customHeight="1" hidden="1">
      <c r="A132" s="22" t="s">
        <v>178</v>
      </c>
      <c r="B132" s="9"/>
      <c r="C132" s="9" t="s">
        <v>23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/>
      <c r="I132" s="107"/>
      <c r="J132" s="78"/>
      <c r="K132" s="116"/>
      <c r="L132" s="107"/>
      <c r="M132" s="107"/>
      <c r="N132" s="107"/>
      <c r="O132" s="6"/>
    </row>
    <row r="133" spans="1:15" s="25" customFormat="1" ht="29.25" customHeight="1" hidden="1">
      <c r="A133" s="681" t="s">
        <v>191</v>
      </c>
      <c r="B133" s="683"/>
      <c r="C133" s="27" t="s">
        <v>192</v>
      </c>
      <c r="D133" s="3"/>
      <c r="E133" s="3"/>
      <c r="F133" s="3"/>
      <c r="G133" s="3"/>
      <c r="H133" s="124">
        <f aca="true" t="shared" si="6" ref="H133:H141">K133</f>
        <v>0</v>
      </c>
      <c r="I133" s="119"/>
      <c r="J133" s="97"/>
      <c r="K133" s="97">
        <f>K134+K135</f>
        <v>0</v>
      </c>
      <c r="L133" s="117"/>
      <c r="M133" s="117"/>
      <c r="N133" s="117"/>
      <c r="O133" s="6"/>
    </row>
    <row r="134" spans="1:15" s="25" customFormat="1" ht="16.5" customHeight="1" hidden="1">
      <c r="A134" s="61" t="s">
        <v>195</v>
      </c>
      <c r="B134" s="67"/>
      <c r="C134" s="59" t="s">
        <v>192</v>
      </c>
      <c r="D134" s="59" t="s">
        <v>193</v>
      </c>
      <c r="E134" s="59" t="s">
        <v>108</v>
      </c>
      <c r="F134" s="59" t="s">
        <v>121</v>
      </c>
      <c r="G134" s="59" t="s">
        <v>194</v>
      </c>
      <c r="H134" s="127">
        <f t="shared" si="6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 hidden="1">
      <c r="A135" s="61" t="s">
        <v>195</v>
      </c>
      <c r="B135" s="68"/>
      <c r="C135" s="59" t="s">
        <v>192</v>
      </c>
      <c r="D135" s="59" t="s">
        <v>196</v>
      </c>
      <c r="E135" s="59" t="s">
        <v>108</v>
      </c>
      <c r="F135" s="59" t="s">
        <v>121</v>
      </c>
      <c r="G135" s="59" t="s">
        <v>194</v>
      </c>
      <c r="H135" s="127">
        <f t="shared" si="6"/>
        <v>0</v>
      </c>
      <c r="I135" s="101" t="s">
        <v>76</v>
      </c>
      <c r="J135" s="100"/>
      <c r="K135" s="104"/>
      <c r="L135" s="101"/>
      <c r="M135" s="101"/>
      <c r="N135" s="101" t="s">
        <v>76</v>
      </c>
      <c r="O135" s="6"/>
    </row>
    <row r="136" spans="1:15" s="25" customFormat="1" ht="16.5" customHeight="1">
      <c r="A136" s="39" t="s">
        <v>222</v>
      </c>
      <c r="B136" s="38"/>
      <c r="C136" s="27" t="s">
        <v>203</v>
      </c>
      <c r="D136" s="3"/>
      <c r="E136" s="3"/>
      <c r="F136" s="3"/>
      <c r="G136" s="3"/>
      <c r="H136" s="124">
        <f t="shared" si="6"/>
        <v>10000</v>
      </c>
      <c r="I136" s="117" t="s">
        <v>76</v>
      </c>
      <c r="J136" s="110"/>
      <c r="K136" s="120">
        <f>K137</f>
        <v>10000</v>
      </c>
      <c r="L136" s="117"/>
      <c r="M136" s="117"/>
      <c r="N136" s="117" t="s">
        <v>76</v>
      </c>
      <c r="O136" s="6"/>
    </row>
    <row r="137" spans="1:15" s="25" customFormat="1" ht="24" customHeight="1">
      <c r="A137" s="22" t="s">
        <v>236</v>
      </c>
      <c r="B137" s="40"/>
      <c r="C137" s="9" t="s">
        <v>203</v>
      </c>
      <c r="D137" s="9" t="s">
        <v>81</v>
      </c>
      <c r="E137" s="9" t="s">
        <v>108</v>
      </c>
      <c r="F137" s="9" t="s">
        <v>205</v>
      </c>
      <c r="G137" s="9" t="s">
        <v>123</v>
      </c>
      <c r="H137" s="126">
        <f t="shared" si="6"/>
        <v>10000</v>
      </c>
      <c r="I137" s="107" t="s">
        <v>76</v>
      </c>
      <c r="J137" s="78"/>
      <c r="K137" s="121">
        <v>10000</v>
      </c>
      <c r="L137" s="107"/>
      <c r="M137" s="107"/>
      <c r="N137" s="107" t="s">
        <v>76</v>
      </c>
      <c r="O137" s="6"/>
    </row>
    <row r="138" spans="1:15" s="25" customFormat="1" ht="12.75" hidden="1">
      <c r="A138" s="75" t="s">
        <v>226</v>
      </c>
      <c r="B138" s="58"/>
      <c r="C138" s="42" t="s">
        <v>23</v>
      </c>
      <c r="D138" s="42"/>
      <c r="E138" s="42"/>
      <c r="F138" s="42"/>
      <c r="G138" s="42"/>
      <c r="H138" s="125">
        <f t="shared" si="6"/>
        <v>0</v>
      </c>
      <c r="I138" s="119"/>
      <c r="J138" s="98"/>
      <c r="K138" s="97">
        <f>K139</f>
        <v>0</v>
      </c>
      <c r="L138" s="119"/>
      <c r="M138" s="119"/>
      <c r="N138" s="119"/>
      <c r="O138" s="6"/>
    </row>
    <row r="139" spans="1:15" s="25" customFormat="1" ht="12.75" hidden="1">
      <c r="A139" s="76" t="s">
        <v>227</v>
      </c>
      <c r="B139" s="57"/>
      <c r="C139" s="9" t="s">
        <v>23</v>
      </c>
      <c r="D139" s="9" t="s">
        <v>228</v>
      </c>
      <c r="E139" s="9" t="s">
        <v>157</v>
      </c>
      <c r="F139" s="9" t="s">
        <v>116</v>
      </c>
      <c r="G139" s="9" t="s">
        <v>115</v>
      </c>
      <c r="H139" s="129">
        <f t="shared" si="6"/>
        <v>0</v>
      </c>
      <c r="I139" s="107"/>
      <c r="J139" s="26"/>
      <c r="K139" s="78"/>
      <c r="L139" s="107"/>
      <c r="M139" s="107"/>
      <c r="N139" s="107"/>
      <c r="O139" s="6"/>
    </row>
    <row r="140" spans="1:15" s="25" customFormat="1" ht="12.75" hidden="1">
      <c r="A140" s="77" t="s">
        <v>231</v>
      </c>
      <c r="B140" s="58"/>
      <c r="C140" s="87" t="s">
        <v>230</v>
      </c>
      <c r="D140" s="53"/>
      <c r="E140" s="53"/>
      <c r="F140" s="53"/>
      <c r="G140" s="53"/>
      <c r="H140" s="124">
        <f t="shared" si="6"/>
        <v>0</v>
      </c>
      <c r="I140" s="119"/>
      <c r="J140" s="97"/>
      <c r="K140" s="98">
        <f>K141</f>
        <v>0</v>
      </c>
      <c r="L140" s="119"/>
      <c r="M140" s="119"/>
      <c r="N140" s="119"/>
      <c r="O140" s="6"/>
    </row>
    <row r="141" spans="1:15" s="25" customFormat="1" ht="12.75" hidden="1">
      <c r="A141" s="22" t="s">
        <v>227</v>
      </c>
      <c r="B141" s="57"/>
      <c r="C141" s="9" t="s">
        <v>230</v>
      </c>
      <c r="D141" s="9" t="s">
        <v>81</v>
      </c>
      <c r="E141" s="9" t="s">
        <v>232</v>
      </c>
      <c r="F141" s="9" t="s">
        <v>116</v>
      </c>
      <c r="G141" s="9" t="s">
        <v>115</v>
      </c>
      <c r="H141" s="126">
        <f t="shared" si="6"/>
        <v>0</v>
      </c>
      <c r="I141" s="107"/>
      <c r="J141" s="78"/>
      <c r="K141" s="26"/>
      <c r="L141" s="107"/>
      <c r="M141" s="107"/>
      <c r="N141" s="107"/>
      <c r="O141" s="6"/>
    </row>
    <row r="142" spans="1:15" s="25" customFormat="1" ht="29.25" customHeight="1">
      <c r="A142" s="681" t="s">
        <v>224</v>
      </c>
      <c r="B142" s="682"/>
      <c r="C142" s="27" t="s">
        <v>80</v>
      </c>
      <c r="D142" s="3"/>
      <c r="E142" s="3"/>
      <c r="F142" s="3"/>
      <c r="G142" s="3"/>
      <c r="H142" s="124">
        <f aca="true" t="shared" si="7" ref="H142:H153">N142</f>
        <v>102004.12000000001</v>
      </c>
      <c r="I142" s="119"/>
      <c r="J142" s="119"/>
      <c r="K142" s="119"/>
      <c r="L142" s="119"/>
      <c r="M142" s="119"/>
      <c r="N142" s="97">
        <f>SUM(N143:N153)</f>
        <v>102004.12000000001</v>
      </c>
      <c r="O142" s="6"/>
    </row>
    <row r="143" spans="1:15" s="25" customFormat="1" ht="13.5" customHeight="1" hidden="1">
      <c r="A143" s="45" t="s">
        <v>8</v>
      </c>
      <c r="B143" s="8"/>
      <c r="C143" s="9" t="s">
        <v>80</v>
      </c>
      <c r="D143" s="9" t="s">
        <v>81</v>
      </c>
      <c r="E143" s="9" t="s">
        <v>108</v>
      </c>
      <c r="F143" s="9" t="s">
        <v>128</v>
      </c>
      <c r="G143" s="9" t="s">
        <v>115</v>
      </c>
      <c r="H143" s="126">
        <f t="shared" si="7"/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 hidden="1">
      <c r="A144" s="22" t="s">
        <v>11</v>
      </c>
      <c r="B144" s="9"/>
      <c r="C144" s="9" t="s">
        <v>80</v>
      </c>
      <c r="D144" s="9" t="s">
        <v>81</v>
      </c>
      <c r="E144" s="9" t="s">
        <v>108</v>
      </c>
      <c r="F144" s="9" t="s">
        <v>121</v>
      </c>
      <c r="G144" s="9" t="s">
        <v>115</v>
      </c>
      <c r="H144" s="126">
        <f t="shared" si="7"/>
        <v>0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/>
      <c r="N144" s="122"/>
      <c r="O144" s="6"/>
    </row>
    <row r="145" spans="1:15" s="25" customFormat="1" ht="13.5" customHeight="1">
      <c r="A145" s="22" t="s">
        <v>11</v>
      </c>
      <c r="B145" s="9"/>
      <c r="C145" s="9" t="s">
        <v>80</v>
      </c>
      <c r="D145" s="9" t="s">
        <v>81</v>
      </c>
      <c r="E145" s="9" t="s">
        <v>218</v>
      </c>
      <c r="F145" s="9" t="s">
        <v>121</v>
      </c>
      <c r="G145" s="9" t="s">
        <v>115</v>
      </c>
      <c r="H145" s="126">
        <f t="shared" si="7"/>
        <v>2815.2</v>
      </c>
      <c r="I145" s="107" t="s">
        <v>76</v>
      </c>
      <c r="J145" s="107" t="s">
        <v>76</v>
      </c>
      <c r="K145" s="107" t="s">
        <v>76</v>
      </c>
      <c r="L145" s="107" t="s">
        <v>76</v>
      </c>
      <c r="M145" s="107" t="s">
        <v>76</v>
      </c>
      <c r="N145" s="78">
        <v>2815.2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218</v>
      </c>
      <c r="F146" s="9" t="s">
        <v>116</v>
      </c>
      <c r="G146" s="9" t="s">
        <v>115</v>
      </c>
      <c r="H146" s="126">
        <f t="shared" si="7"/>
        <v>13427.57</v>
      </c>
      <c r="I146" s="107" t="s">
        <v>76</v>
      </c>
      <c r="J146" s="107"/>
      <c r="K146" s="107" t="s">
        <v>76</v>
      </c>
      <c r="L146" s="107" t="s">
        <v>76</v>
      </c>
      <c r="M146" s="107"/>
      <c r="N146" s="433">
        <v>13427.57</v>
      </c>
      <c r="O146" s="6"/>
    </row>
    <row r="147" spans="1:15" s="25" customFormat="1" ht="13.5" customHeight="1">
      <c r="A147" s="22" t="s">
        <v>362</v>
      </c>
      <c r="B147" s="9"/>
      <c r="C147" s="9" t="s">
        <v>80</v>
      </c>
      <c r="D147" s="9" t="s">
        <v>81</v>
      </c>
      <c r="E147" s="9" t="s">
        <v>218</v>
      </c>
      <c r="F147" s="9" t="s">
        <v>361</v>
      </c>
      <c r="G147" s="9" t="s">
        <v>115</v>
      </c>
      <c r="H147" s="126">
        <f t="shared" si="7"/>
        <v>3408.3</v>
      </c>
      <c r="I147" s="107"/>
      <c r="J147" s="107"/>
      <c r="K147" s="107"/>
      <c r="L147" s="107"/>
      <c r="M147" s="107"/>
      <c r="N147" s="433">
        <v>3408.3</v>
      </c>
      <c r="O147" s="6"/>
    </row>
    <row r="148" spans="1:15" s="25" customFormat="1" ht="13.5" customHeight="1">
      <c r="A148" s="22" t="s">
        <v>12</v>
      </c>
      <c r="B148" s="9"/>
      <c r="C148" s="9" t="s">
        <v>80</v>
      </c>
      <c r="D148" s="9" t="s">
        <v>81</v>
      </c>
      <c r="E148" s="9" t="s">
        <v>108</v>
      </c>
      <c r="F148" s="9" t="s">
        <v>116</v>
      </c>
      <c r="G148" s="9" t="s">
        <v>115</v>
      </c>
      <c r="H148" s="126">
        <f t="shared" si="7"/>
        <v>30000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 t="s">
        <v>76</v>
      </c>
      <c r="N148" s="78">
        <v>30000</v>
      </c>
      <c r="O148" s="6"/>
    </row>
    <row r="149" spans="1:15" s="25" customFormat="1" ht="13.5" customHeight="1">
      <c r="A149" s="22" t="s">
        <v>14</v>
      </c>
      <c r="B149" s="9"/>
      <c r="C149" s="9" t="s">
        <v>80</v>
      </c>
      <c r="D149" s="9" t="s">
        <v>81</v>
      </c>
      <c r="E149" s="9" t="s">
        <v>108</v>
      </c>
      <c r="F149" s="9" t="s">
        <v>118</v>
      </c>
      <c r="G149" s="9" t="s">
        <v>115</v>
      </c>
      <c r="H149" s="126">
        <f t="shared" si="7"/>
        <v>35000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>
        <v>35000</v>
      </c>
      <c r="O149" s="6"/>
    </row>
    <row r="150" spans="1:15" s="25" customFormat="1" ht="13.5" customHeight="1">
      <c r="A150" s="22" t="s">
        <v>463</v>
      </c>
      <c r="B150" s="9"/>
      <c r="C150" s="9" t="s">
        <v>80</v>
      </c>
      <c r="D150" s="9" t="s">
        <v>81</v>
      </c>
      <c r="E150" s="9" t="s">
        <v>108</v>
      </c>
      <c r="F150" s="9" t="s">
        <v>118</v>
      </c>
      <c r="G150" s="9" t="s">
        <v>115</v>
      </c>
      <c r="H150" s="126">
        <f t="shared" si="7"/>
        <v>2504.12</v>
      </c>
      <c r="I150" s="107" t="s">
        <v>76</v>
      </c>
      <c r="J150" s="107" t="s">
        <v>76</v>
      </c>
      <c r="K150" s="107" t="s">
        <v>76</v>
      </c>
      <c r="L150" s="107"/>
      <c r="M150" s="107"/>
      <c r="N150" s="122">
        <v>2504.12</v>
      </c>
      <c r="O150" s="6"/>
    </row>
    <row r="151" spans="1:15" s="25" customFormat="1" ht="39" customHeight="1">
      <c r="A151" s="22" t="s">
        <v>363</v>
      </c>
      <c r="B151" s="9"/>
      <c r="C151" s="9" t="s">
        <v>80</v>
      </c>
      <c r="D151" s="9" t="s">
        <v>81</v>
      </c>
      <c r="E151" s="9" t="s">
        <v>218</v>
      </c>
      <c r="F151" s="9" t="s">
        <v>240</v>
      </c>
      <c r="G151" s="9" t="s">
        <v>115</v>
      </c>
      <c r="H151" s="126">
        <f t="shared" si="7"/>
        <v>3937.5</v>
      </c>
      <c r="I151" s="107" t="s">
        <v>76</v>
      </c>
      <c r="J151" s="107"/>
      <c r="K151" s="107" t="s">
        <v>76</v>
      </c>
      <c r="L151" s="107" t="s">
        <v>76</v>
      </c>
      <c r="M151" s="107"/>
      <c r="N151" s="99">
        <v>3937.5</v>
      </c>
      <c r="O151" s="6"/>
    </row>
    <row r="152" spans="1:15" s="25" customFormat="1" ht="30.75" customHeight="1">
      <c r="A152" s="431" t="s">
        <v>364</v>
      </c>
      <c r="B152" s="20"/>
      <c r="C152" s="9" t="s">
        <v>80</v>
      </c>
      <c r="D152" s="9" t="s">
        <v>81</v>
      </c>
      <c r="E152" s="9" t="s">
        <v>218</v>
      </c>
      <c r="F152" s="9" t="s">
        <v>242</v>
      </c>
      <c r="G152" s="9" t="s">
        <v>115</v>
      </c>
      <c r="H152" s="126">
        <f t="shared" si="7"/>
        <v>7087.63</v>
      </c>
      <c r="I152" s="107" t="s">
        <v>76</v>
      </c>
      <c r="J152" s="108"/>
      <c r="K152" s="107" t="s">
        <v>76</v>
      </c>
      <c r="L152" s="108"/>
      <c r="M152" s="108"/>
      <c r="N152" s="78">
        <v>7087.63</v>
      </c>
      <c r="O152" s="6"/>
    </row>
    <row r="153" spans="1:15" s="25" customFormat="1" ht="30.75" customHeight="1">
      <c r="A153" s="431" t="s">
        <v>243</v>
      </c>
      <c r="B153" s="20"/>
      <c r="C153" s="9" t="s">
        <v>80</v>
      </c>
      <c r="D153" s="9" t="s">
        <v>81</v>
      </c>
      <c r="E153" s="9" t="s">
        <v>218</v>
      </c>
      <c r="F153" s="9" t="s">
        <v>244</v>
      </c>
      <c r="G153" s="9" t="s">
        <v>115</v>
      </c>
      <c r="H153" s="126">
        <f t="shared" si="7"/>
        <v>3823.8</v>
      </c>
      <c r="I153" s="107"/>
      <c r="J153" s="108"/>
      <c r="K153" s="107"/>
      <c r="L153" s="108"/>
      <c r="M153" s="108"/>
      <c r="N153" s="78">
        <v>3823.8</v>
      </c>
      <c r="O153" s="6"/>
    </row>
    <row r="154" spans="1:15" s="25" customFormat="1" ht="27">
      <c r="A154" s="96" t="s">
        <v>129</v>
      </c>
      <c r="B154" s="32" t="s">
        <v>130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16694370</v>
      </c>
      <c r="I154" s="130">
        <f>I56+I59+I87+I88+I57+I72+I58</f>
        <v>16684370</v>
      </c>
      <c r="J154" s="130"/>
      <c r="K154" s="130">
        <f>K137</f>
        <v>10000</v>
      </c>
      <c r="L154" s="134" t="s">
        <v>76</v>
      </c>
      <c r="M154" s="134" t="s">
        <v>76</v>
      </c>
      <c r="N154" s="130"/>
      <c r="O154" s="6" t="s">
        <v>76</v>
      </c>
    </row>
    <row r="155" spans="1:15" s="25" customFormat="1" ht="27">
      <c r="A155" s="96" t="s">
        <v>131</v>
      </c>
      <c r="B155" s="32" t="s">
        <v>132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H157+H156</f>
        <v>7304438.82</v>
      </c>
      <c r="I155" s="130">
        <f>I157+I156</f>
        <v>5024069</v>
      </c>
      <c r="J155" s="130">
        <f>J157+J156</f>
        <v>0</v>
      </c>
      <c r="K155" s="130">
        <f>K157+K156</f>
        <v>2178365.7</v>
      </c>
      <c r="L155" s="134"/>
      <c r="M155" s="134"/>
      <c r="N155" s="130">
        <f>N157+N156</f>
        <v>102004.12</v>
      </c>
      <c r="O155" s="6"/>
    </row>
    <row r="156" spans="1:15" s="25" customFormat="1" ht="24" customHeight="1">
      <c r="A156" s="96" t="s">
        <v>133</v>
      </c>
      <c r="B156" s="32" t="s">
        <v>134</v>
      </c>
      <c r="C156" s="33" t="s">
        <v>76</v>
      </c>
      <c r="D156" s="33" t="s">
        <v>76</v>
      </c>
      <c r="E156" s="33" t="s">
        <v>76</v>
      </c>
      <c r="F156" s="33" t="s">
        <v>76</v>
      </c>
      <c r="G156" s="33" t="s">
        <v>76</v>
      </c>
      <c r="H156" s="130">
        <f>I156+N156+K156</f>
        <v>0</v>
      </c>
      <c r="I156" s="130"/>
      <c r="J156" s="130"/>
      <c r="K156" s="130">
        <v>0</v>
      </c>
      <c r="L156" s="134"/>
      <c r="M156" s="134"/>
      <c r="N156" s="130">
        <v>0</v>
      </c>
      <c r="O156" s="6"/>
    </row>
    <row r="157" spans="1:15" s="25" customFormat="1" ht="12.75" customHeight="1">
      <c r="A157" s="96" t="s">
        <v>135</v>
      </c>
      <c r="B157" s="32" t="s">
        <v>136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I157+N157+K157</f>
        <v>7304438.82</v>
      </c>
      <c r="I157" s="130">
        <f>I61+I66+I67+I68+I69+I73+I78+I79+I81+I83+I84+I85+I86+I97+I92+I93+I74+I75+I76+I77+I94+I82+I71</f>
        <v>5024069</v>
      </c>
      <c r="J157" s="130"/>
      <c r="K157" s="130">
        <f>K101+K105+K134+K135+K119+K120+K121+K127+K129+K113+K114+K115+K116+K112+K139+K141+K126+K122+K123+K124+K107+K108++K109+K110</f>
        <v>2178365.7</v>
      </c>
      <c r="L157" s="134" t="s">
        <v>76</v>
      </c>
      <c r="M157" s="134" t="s">
        <v>76</v>
      </c>
      <c r="N157" s="130">
        <f>N143+N144+N146+N149+N151+N145+N148+N152+N147+N153+N150</f>
        <v>102004.12</v>
      </c>
      <c r="O157" s="6" t="s">
        <v>76</v>
      </c>
    </row>
    <row r="158" spans="1:15" s="25" customFormat="1" ht="13.5" hidden="1">
      <c r="A158" s="8" t="s">
        <v>137</v>
      </c>
      <c r="B158" s="9" t="s">
        <v>138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f>I158+N158</f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139</v>
      </c>
      <c r="B159" s="9" t="s">
        <v>118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140</v>
      </c>
      <c r="B160" s="9" t="s">
        <v>141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142</v>
      </c>
      <c r="B161" s="9" t="s">
        <v>143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144</v>
      </c>
      <c r="B162" s="9" t="s">
        <v>145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146</v>
      </c>
      <c r="B163" s="9" t="s">
        <v>147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>
      <c r="A164" s="48" t="s">
        <v>137</v>
      </c>
      <c r="B164" s="49" t="s">
        <v>138</v>
      </c>
      <c r="C164" s="50" t="s">
        <v>173</v>
      </c>
      <c r="D164" s="49" t="s">
        <v>81</v>
      </c>
      <c r="E164" s="50" t="s">
        <v>174</v>
      </c>
      <c r="F164" s="50" t="s">
        <v>174</v>
      </c>
      <c r="G164" s="50" t="s">
        <v>175</v>
      </c>
      <c r="H164" s="132">
        <v>28653.9</v>
      </c>
      <c r="I164" s="136"/>
      <c r="J164" s="136"/>
      <c r="K164" s="136"/>
      <c r="L164" s="137"/>
      <c r="M164" s="137"/>
      <c r="N164" s="136"/>
      <c r="O164" s="6"/>
    </row>
    <row r="165" spans="1:15" s="25" customFormat="1" ht="13.5">
      <c r="A165" s="51" t="s">
        <v>142</v>
      </c>
      <c r="B165" s="49" t="s">
        <v>143</v>
      </c>
      <c r="C165" s="50" t="s">
        <v>173</v>
      </c>
      <c r="D165" s="49" t="s">
        <v>81</v>
      </c>
      <c r="E165" s="50" t="s">
        <v>174</v>
      </c>
      <c r="F165" s="50" t="s">
        <v>174</v>
      </c>
      <c r="G165" s="50" t="s">
        <v>176</v>
      </c>
      <c r="H165" s="132">
        <v>28653.9</v>
      </c>
      <c r="I165" s="136"/>
      <c r="J165" s="136"/>
      <c r="K165" s="136"/>
      <c r="L165" s="137"/>
      <c r="M165" s="137"/>
      <c r="N165" s="136"/>
      <c r="O165" s="6"/>
    </row>
    <row r="166" spans="1:15" s="25" customFormat="1" ht="13.5">
      <c r="A166" s="35" t="s">
        <v>148</v>
      </c>
      <c r="B166" s="36" t="s">
        <v>149</v>
      </c>
      <c r="C166" s="37" t="s">
        <v>76</v>
      </c>
      <c r="D166" s="37" t="s">
        <v>76</v>
      </c>
      <c r="E166" s="37" t="s">
        <v>76</v>
      </c>
      <c r="F166" s="37" t="s">
        <v>76</v>
      </c>
      <c r="G166" s="37" t="s">
        <v>76</v>
      </c>
      <c r="H166" s="133">
        <f>I166+K166+N166</f>
        <v>0</v>
      </c>
      <c r="I166" s="133">
        <v>0</v>
      </c>
      <c r="J166" s="133"/>
      <c r="K166" s="133"/>
      <c r="L166" s="138" t="s">
        <v>76</v>
      </c>
      <c r="M166" s="138" t="s">
        <v>76</v>
      </c>
      <c r="N166" s="133"/>
      <c r="O166" s="6" t="s">
        <v>76</v>
      </c>
    </row>
    <row r="167" spans="1:15" s="25" customFormat="1" ht="13.5">
      <c r="A167" s="20" t="s">
        <v>150</v>
      </c>
      <c r="B167" s="9" t="s">
        <v>151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9" ht="12.75">
      <c r="A169" s="88" t="s">
        <v>271</v>
      </c>
    </row>
    <row r="170" ht="12.75">
      <c r="A170" s="88"/>
    </row>
    <row r="171" ht="19.5" customHeight="1">
      <c r="A171" s="88" t="s">
        <v>17</v>
      </c>
    </row>
    <row r="172" ht="12.75">
      <c r="A172" s="88" t="s">
        <v>272</v>
      </c>
    </row>
    <row r="173" ht="12.75">
      <c r="A173" s="88"/>
    </row>
    <row r="174" ht="13.5" customHeight="1">
      <c r="A174" s="89"/>
    </row>
    <row r="175" ht="13.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</sheetData>
  <sheetProtection/>
  <mergeCells count="86">
    <mergeCell ref="A111:B111"/>
    <mergeCell ref="A117:B117"/>
    <mergeCell ref="A85:A86"/>
    <mergeCell ref="E78:E79"/>
    <mergeCell ref="A142:B142"/>
    <mergeCell ref="G126:G127"/>
    <mergeCell ref="A98:B98"/>
    <mergeCell ref="A119:A121"/>
    <mergeCell ref="A133:B133"/>
    <mergeCell ref="A131:B131"/>
    <mergeCell ref="A102:B102"/>
    <mergeCell ref="A106:B106"/>
    <mergeCell ref="F126:F127"/>
    <mergeCell ref="F78:F79"/>
    <mergeCell ref="A128:B128"/>
    <mergeCell ref="A126:A127"/>
    <mergeCell ref="C126:C127"/>
    <mergeCell ref="E126:E127"/>
    <mergeCell ref="F85:F86"/>
    <mergeCell ref="F83:F84"/>
    <mergeCell ref="G83:G84"/>
    <mergeCell ref="G68:G69"/>
    <mergeCell ref="E73:E74"/>
    <mergeCell ref="G85:G86"/>
    <mergeCell ref="E85:E86"/>
    <mergeCell ref="A83:A84"/>
    <mergeCell ref="E68:E69"/>
    <mergeCell ref="C78:C79"/>
    <mergeCell ref="C85:C86"/>
    <mergeCell ref="C68:C69"/>
    <mergeCell ref="G57:G58"/>
    <mergeCell ref="C119:C121"/>
    <mergeCell ref="E119:E121"/>
    <mergeCell ref="F119:F121"/>
    <mergeCell ref="G119:G121"/>
    <mergeCell ref="C83:C84"/>
    <mergeCell ref="E83:E84"/>
    <mergeCell ref="G78:G79"/>
    <mergeCell ref="F57:F58"/>
    <mergeCell ref="F68:F69"/>
    <mergeCell ref="A80:B80"/>
    <mergeCell ref="A55:B55"/>
    <mergeCell ref="C57:C58"/>
    <mergeCell ref="A61:A66"/>
    <mergeCell ref="C61:C66"/>
    <mergeCell ref="A68:A69"/>
    <mergeCell ref="F61:F66"/>
    <mergeCell ref="A78:A79"/>
    <mergeCell ref="A30:A35"/>
    <mergeCell ref="F31:F35"/>
    <mergeCell ref="C36:C39"/>
    <mergeCell ref="A45:A46"/>
    <mergeCell ref="C45:C46"/>
    <mergeCell ref="F45:F46"/>
    <mergeCell ref="A40:A42"/>
    <mergeCell ref="C40:C42"/>
    <mergeCell ref="F40:F42"/>
    <mergeCell ref="A36:A39"/>
    <mergeCell ref="J16:J17"/>
    <mergeCell ref="A17:A18"/>
    <mergeCell ref="C17:C18"/>
    <mergeCell ref="E17:E18"/>
    <mergeCell ref="F17:F18"/>
    <mergeCell ref="G17:G18"/>
    <mergeCell ref="B16:B23"/>
    <mergeCell ref="A19:A23"/>
    <mergeCell ref="C19:C23"/>
    <mergeCell ref="F19:F23"/>
    <mergeCell ref="H4:O4"/>
    <mergeCell ref="H5:H6"/>
    <mergeCell ref="I5:O5"/>
    <mergeCell ref="N6:O6"/>
    <mergeCell ref="D4:D6"/>
    <mergeCell ref="E4:E6"/>
    <mergeCell ref="F4:F6"/>
    <mergeCell ref="G4:G6"/>
    <mergeCell ref="B10:B15"/>
    <mergeCell ref="C11:C13"/>
    <mergeCell ref="E11:E13"/>
    <mergeCell ref="F11:F13"/>
    <mergeCell ref="A1:O1"/>
    <mergeCell ref="B2:M2"/>
    <mergeCell ref="N2:O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view="pageBreakPreview" zoomScaleSheetLayoutView="100" zoomScalePageLayoutView="0" workbookViewId="0" topLeftCell="A122">
      <selection activeCell="B16" sqref="B16:B23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482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H10+H16+H24</f>
        <v>24088908.82</v>
      </c>
      <c r="I9" s="124">
        <f>I16</f>
        <v>21708439</v>
      </c>
      <c r="J9" s="124"/>
      <c r="K9" s="124">
        <f>K24</f>
        <v>2278465.7</v>
      </c>
      <c r="L9" s="125" t="s">
        <v>76</v>
      </c>
      <c r="M9" s="125" t="s">
        <v>76</v>
      </c>
      <c r="N9" s="124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21708439</v>
      </c>
      <c r="I16" s="78">
        <f>I17+I19+I20+I18+I23</f>
        <v>21708439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17351100</v>
      </c>
      <c r="I18" s="359">
        <f>16689500+661600</f>
        <v>17351100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12.75">
      <c r="A24" s="72" t="s">
        <v>87</v>
      </c>
      <c r="B24" s="62" t="s">
        <v>88</v>
      </c>
      <c r="C24" s="62" t="s">
        <v>76</v>
      </c>
      <c r="D24" s="62" t="s">
        <v>76</v>
      </c>
      <c r="E24" s="62" t="s">
        <v>76</v>
      </c>
      <c r="F24" s="62" t="s">
        <v>76</v>
      </c>
      <c r="G24" s="62" t="s">
        <v>76</v>
      </c>
      <c r="H24" s="127">
        <f>K24</f>
        <v>2278465.7</v>
      </c>
      <c r="I24" s="102" t="s">
        <v>76</v>
      </c>
      <c r="J24" s="100"/>
      <c r="K24" s="100">
        <f>SUM(K25:K48)</f>
        <v>2278465.7</v>
      </c>
      <c r="L24" s="102" t="s">
        <v>76</v>
      </c>
      <c r="M24" s="102" t="s">
        <v>76</v>
      </c>
      <c r="N24" s="102" t="s">
        <v>76</v>
      </c>
      <c r="O24" s="7" t="s">
        <v>76</v>
      </c>
    </row>
    <row r="25" spans="1:16" ht="69" customHeight="1">
      <c r="A25" s="73" t="s">
        <v>45</v>
      </c>
      <c r="B25" s="62"/>
      <c r="C25" s="63" t="s">
        <v>21</v>
      </c>
      <c r="D25" s="389" t="s">
        <v>89</v>
      </c>
      <c r="E25" s="6"/>
      <c r="F25" s="6" t="s">
        <v>284</v>
      </c>
      <c r="G25" s="6"/>
      <c r="H25" s="390">
        <f>K25</f>
        <v>653340</v>
      </c>
      <c r="I25" s="107" t="s">
        <v>76</v>
      </c>
      <c r="J25" s="116"/>
      <c r="K25" s="391">
        <f>676900-23560</f>
        <v>653340</v>
      </c>
      <c r="L25" s="101" t="s">
        <v>76</v>
      </c>
      <c r="M25" s="101" t="s">
        <v>76</v>
      </c>
      <c r="N25" s="101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24.75" customHeight="1">
      <c r="A30" s="699" t="s">
        <v>280</v>
      </c>
      <c r="B30" s="62"/>
      <c r="C30" s="63" t="s">
        <v>50</v>
      </c>
      <c r="D30" s="6" t="s">
        <v>81</v>
      </c>
      <c r="E30" s="392"/>
      <c r="F30" s="6" t="s">
        <v>284</v>
      </c>
      <c r="G30" s="9"/>
      <c r="H30" s="126">
        <f>K30</f>
        <v>80000</v>
      </c>
      <c r="I30" s="107"/>
      <c r="J30" s="322"/>
      <c r="K30" s="78">
        <v>80000</v>
      </c>
      <c r="L30" s="323"/>
      <c r="M30" s="323"/>
      <c r="N30" s="107" t="s">
        <v>76</v>
      </c>
      <c r="O30" s="7"/>
    </row>
    <row r="31" spans="1:15" ht="21" customHeight="1" hidden="1">
      <c r="A31" s="700"/>
      <c r="B31" s="62"/>
      <c r="C31" s="63" t="s">
        <v>50</v>
      </c>
      <c r="D31" s="393" t="s">
        <v>332</v>
      </c>
      <c r="E31" s="20"/>
      <c r="F31" s="695" t="s">
        <v>284</v>
      </c>
      <c r="G31" s="9"/>
      <c r="H31" s="25"/>
      <c r="I31" s="107" t="s">
        <v>76</v>
      </c>
      <c r="J31" s="108"/>
      <c r="K31" s="109"/>
      <c r="L31" s="108"/>
      <c r="M31" s="108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214</v>
      </c>
      <c r="E32" s="9"/>
      <c r="F32" s="695"/>
      <c r="G32" s="9"/>
      <c r="H32" s="126">
        <f aca="true" t="shared" si="2" ref="H32:H48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333</v>
      </c>
      <c r="E33" s="9"/>
      <c r="F33" s="695"/>
      <c r="G33" s="9"/>
      <c r="H33" s="126">
        <f t="shared" si="2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216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1"/>
      <c r="B35" s="62"/>
      <c r="C35" s="63" t="s">
        <v>50</v>
      </c>
      <c r="D35" s="9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>
      <c r="A36" s="741" t="s">
        <v>372</v>
      </c>
      <c r="B36" s="60"/>
      <c r="C36" s="693" t="s">
        <v>373</v>
      </c>
      <c r="D36" s="434" t="s">
        <v>332</v>
      </c>
      <c r="E36" s="9"/>
      <c r="F36" s="6" t="s">
        <v>284</v>
      </c>
      <c r="G36" s="9"/>
      <c r="H36" s="126">
        <f t="shared" si="2"/>
        <v>43200</v>
      </c>
      <c r="I36" s="107"/>
      <c r="J36" s="78"/>
      <c r="K36" s="78">
        <v>43200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214</v>
      </c>
      <c r="E37" s="9"/>
      <c r="F37" s="6" t="s">
        <v>284</v>
      </c>
      <c r="G37" s="9"/>
      <c r="H37" s="126">
        <f t="shared" si="2"/>
        <v>4800</v>
      </c>
      <c r="I37" s="107"/>
      <c r="J37" s="78"/>
      <c r="K37" s="78">
        <v>4800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333</v>
      </c>
      <c r="E38" s="9"/>
      <c r="F38" s="6" t="s">
        <v>284</v>
      </c>
      <c r="G38" s="9"/>
      <c r="H38" s="126">
        <f t="shared" si="2"/>
        <v>10800</v>
      </c>
      <c r="I38" s="107"/>
      <c r="J38" s="78"/>
      <c r="K38" s="78">
        <v>10800</v>
      </c>
      <c r="L38" s="26"/>
      <c r="M38" s="26"/>
      <c r="N38" s="107"/>
      <c r="O38" s="7"/>
    </row>
    <row r="39" spans="1:15" ht="12.75" customHeight="1">
      <c r="A39" s="743"/>
      <c r="B39" s="60"/>
      <c r="C39" s="694"/>
      <c r="D39" s="434" t="s">
        <v>216</v>
      </c>
      <c r="E39" s="9"/>
      <c r="F39" s="6" t="s">
        <v>284</v>
      </c>
      <c r="G39" s="9"/>
      <c r="H39" s="126">
        <f t="shared" si="2"/>
        <v>1200</v>
      </c>
      <c r="I39" s="107"/>
      <c r="J39" s="78"/>
      <c r="K39" s="78">
        <v>1200</v>
      </c>
      <c r="L39" s="26"/>
      <c r="M39" s="26"/>
      <c r="N39" s="107"/>
      <c r="O39" s="7"/>
    </row>
    <row r="40" spans="1:15" ht="12.75">
      <c r="A40" s="711" t="s">
        <v>155</v>
      </c>
      <c r="B40" s="62"/>
      <c r="C40" s="698" t="s">
        <v>51</v>
      </c>
      <c r="D40" s="6" t="s">
        <v>81</v>
      </c>
      <c r="E40" s="9"/>
      <c r="F40" s="693" t="s">
        <v>284</v>
      </c>
      <c r="G40" s="9"/>
      <c r="H40" s="126">
        <f t="shared" si="2"/>
        <v>201123.7</v>
      </c>
      <c r="I40" s="107" t="s">
        <v>76</v>
      </c>
      <c r="J40" s="78"/>
      <c r="K40" s="78">
        <f>195152.7+2985.5+2985.5</f>
        <v>201123.7</v>
      </c>
      <c r="L40" s="26"/>
      <c r="M40" s="26"/>
      <c r="N40" s="107" t="s">
        <v>76</v>
      </c>
      <c r="O40" s="7"/>
    </row>
    <row r="41" spans="1:21" ht="12.75">
      <c r="A41" s="711"/>
      <c r="B41" s="62"/>
      <c r="C41" s="698"/>
      <c r="D41" s="6" t="s">
        <v>166</v>
      </c>
      <c r="E41" s="9"/>
      <c r="F41" s="697"/>
      <c r="G41" s="9"/>
      <c r="H41" s="126">
        <f t="shared" si="2"/>
        <v>188911.8</v>
      </c>
      <c r="I41" s="107" t="s">
        <v>76</v>
      </c>
      <c r="J41" s="78"/>
      <c r="K41" s="78">
        <f>148024.8+20443.5+20443.5</f>
        <v>188911.8</v>
      </c>
      <c r="L41" s="26"/>
      <c r="M41" s="26"/>
      <c r="N41" s="107" t="s">
        <v>76</v>
      </c>
      <c r="O41" s="7"/>
      <c r="U41" s="392"/>
    </row>
    <row r="42" spans="1:15" ht="12.75">
      <c r="A42" s="711"/>
      <c r="B42" s="62"/>
      <c r="C42" s="698"/>
      <c r="D42" s="9" t="s">
        <v>196</v>
      </c>
      <c r="E42" s="9"/>
      <c r="F42" s="694"/>
      <c r="G42" s="9"/>
      <c r="H42" s="126">
        <f t="shared" si="2"/>
        <v>20990.2</v>
      </c>
      <c r="I42" s="107" t="s">
        <v>76</v>
      </c>
      <c r="J42" s="78"/>
      <c r="K42" s="78">
        <f>16447.2+2271.5+2271.5</f>
        <v>20990.2</v>
      </c>
      <c r="L42" s="26"/>
      <c r="M42" s="26"/>
      <c r="N42" s="107" t="s">
        <v>76</v>
      </c>
      <c r="O42" s="7"/>
    </row>
    <row r="43" spans="1:15" ht="63.75">
      <c r="A43" s="65" t="s">
        <v>43</v>
      </c>
      <c r="B43" s="66"/>
      <c r="C43" s="368" t="s">
        <v>42</v>
      </c>
      <c r="D43" s="6" t="s">
        <v>162</v>
      </c>
      <c r="E43" s="9"/>
      <c r="F43" s="6" t="s">
        <v>284</v>
      </c>
      <c r="G43" s="9"/>
      <c r="H43" s="126">
        <f t="shared" si="2"/>
        <v>950000</v>
      </c>
      <c r="I43" s="107" t="s">
        <v>76</v>
      </c>
      <c r="J43" s="78"/>
      <c r="K43" s="78">
        <v>950000</v>
      </c>
      <c r="L43" s="26"/>
      <c r="M43" s="26"/>
      <c r="N43" s="107" t="s">
        <v>76</v>
      </c>
      <c r="O43" s="7"/>
    </row>
    <row r="44" spans="1:21" ht="25.5">
      <c r="A44" s="65" t="s">
        <v>225</v>
      </c>
      <c r="B44" s="66"/>
      <c r="C44" s="59" t="s">
        <v>203</v>
      </c>
      <c r="D44" s="59" t="s">
        <v>81</v>
      </c>
      <c r="E44" s="59"/>
      <c r="F44" s="6" t="s">
        <v>284</v>
      </c>
      <c r="G44" s="9"/>
      <c r="H44" s="126">
        <f t="shared" si="2"/>
        <v>10000</v>
      </c>
      <c r="I44" s="107" t="s">
        <v>76</v>
      </c>
      <c r="J44" s="78"/>
      <c r="K44" s="78">
        <v>10000</v>
      </c>
      <c r="L44" s="26"/>
      <c r="M44" s="26"/>
      <c r="N44" s="107" t="s">
        <v>76</v>
      </c>
      <c r="O44" s="7"/>
      <c r="U44" s="469"/>
    </row>
    <row r="45" spans="1:15" ht="21" customHeight="1" hidden="1">
      <c r="A45" s="689" t="s">
        <v>199</v>
      </c>
      <c r="B45" s="66"/>
      <c r="C45" s="690" t="s">
        <v>192</v>
      </c>
      <c r="D45" s="59" t="s">
        <v>193</v>
      </c>
      <c r="E45" s="59"/>
      <c r="F45" s="693" t="s">
        <v>209</v>
      </c>
      <c r="G45" s="9"/>
      <c r="H45" s="126">
        <f t="shared" si="2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18" customHeight="1" hidden="1">
      <c r="A46" s="689"/>
      <c r="B46" s="66"/>
      <c r="C46" s="690"/>
      <c r="D46" s="59" t="s">
        <v>196</v>
      </c>
      <c r="E46" s="59"/>
      <c r="F46" s="694"/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38.25">
      <c r="A47" s="495" t="s">
        <v>49</v>
      </c>
      <c r="B47" s="498"/>
      <c r="C47" s="498" t="s">
        <v>23</v>
      </c>
      <c r="D47" s="498" t="s">
        <v>228</v>
      </c>
      <c r="E47" s="498"/>
      <c r="F47" s="498" t="s">
        <v>209</v>
      </c>
      <c r="G47" s="498"/>
      <c r="H47" s="519">
        <f t="shared" si="2"/>
        <v>90100</v>
      </c>
      <c r="I47" s="520"/>
      <c r="J47" s="520"/>
      <c r="K47" s="501">
        <v>90100</v>
      </c>
      <c r="L47" s="520"/>
      <c r="M47" s="520"/>
      <c r="N47" s="520"/>
      <c r="O47" s="7"/>
    </row>
    <row r="48" spans="1:15" ht="22.5" customHeight="1" hidden="1">
      <c r="A48" s="8" t="s">
        <v>229</v>
      </c>
      <c r="B48" s="6"/>
      <c r="C48" s="22" t="s">
        <v>230</v>
      </c>
      <c r="D48" s="6" t="s">
        <v>81</v>
      </c>
      <c r="E48" s="9"/>
      <c r="F48" s="15" t="s">
        <v>209</v>
      </c>
      <c r="G48" s="9"/>
      <c r="H48" s="126">
        <f t="shared" si="2"/>
        <v>0</v>
      </c>
      <c r="I48" s="107"/>
      <c r="J48" s="78"/>
      <c r="K48" s="26"/>
      <c r="L48" s="26"/>
      <c r="M48" s="26"/>
      <c r="N48" s="26"/>
      <c r="O48" s="7"/>
    </row>
    <row r="49" spans="1:21" s="25" customFormat="1" ht="17.25" customHeight="1">
      <c r="A49" s="23" t="s">
        <v>94</v>
      </c>
      <c r="B49" s="24" t="s">
        <v>95</v>
      </c>
      <c r="C49" s="56" t="s">
        <v>76</v>
      </c>
      <c r="D49" s="56" t="s">
        <v>76</v>
      </c>
      <c r="E49" s="56" t="s">
        <v>76</v>
      </c>
      <c r="F49" s="56" t="s">
        <v>76</v>
      </c>
      <c r="G49" s="56" t="s">
        <v>76</v>
      </c>
      <c r="H49" s="130">
        <f>I49+N49+K49</f>
        <v>24088908.82</v>
      </c>
      <c r="I49" s="130">
        <f>I55+I80+I98</f>
        <v>21708439</v>
      </c>
      <c r="J49" s="130"/>
      <c r="K49" s="130">
        <f>K98+K102+K104+K117+K128+K131+K133+K111+K136+K138+K140+K106</f>
        <v>2278465.7</v>
      </c>
      <c r="L49" s="130"/>
      <c r="M49" s="130"/>
      <c r="N49" s="130">
        <f>N142</f>
        <v>102004.12000000001</v>
      </c>
      <c r="O49" s="95"/>
      <c r="U49" s="380"/>
    </row>
    <row r="50" spans="1:15" s="25" customFormat="1" ht="18" customHeight="1">
      <c r="A50" s="8" t="s">
        <v>96</v>
      </c>
      <c r="B50" s="9" t="s">
        <v>97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16571666</v>
      </c>
      <c r="I50" s="78">
        <f>I51+I53</f>
        <v>16571666</v>
      </c>
      <c r="J50" s="78"/>
      <c r="K50" s="78"/>
      <c r="L50" s="78"/>
      <c r="M50" s="78"/>
      <c r="N50" s="78"/>
      <c r="O50" s="7" t="s">
        <v>76</v>
      </c>
    </row>
    <row r="51" spans="1:15" s="25" customFormat="1" ht="25.5">
      <c r="A51" s="22" t="s">
        <v>98</v>
      </c>
      <c r="B51" s="9" t="s">
        <v>99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16571666</v>
      </c>
      <c r="I51" s="78">
        <f>I56+I57+I59+I60</f>
        <v>16571666</v>
      </c>
      <c r="J51" s="78"/>
      <c r="K51" s="78"/>
      <c r="L51" s="78"/>
      <c r="M51" s="78"/>
      <c r="N51" s="78"/>
      <c r="O51" s="7" t="s">
        <v>76</v>
      </c>
    </row>
    <row r="52" spans="1:15" s="25" customFormat="1" ht="9.75" customHeight="1" hidden="1">
      <c r="A52" s="8" t="s">
        <v>100</v>
      </c>
      <c r="B52" s="9" t="s">
        <v>101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/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25.5" hidden="1">
      <c r="A53" s="8" t="s">
        <v>102</v>
      </c>
      <c r="B53" s="9" t="s">
        <v>103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0</v>
      </c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13.5" customHeight="1" hidden="1">
      <c r="A54" s="8" t="s">
        <v>104</v>
      </c>
      <c r="B54" s="9" t="s">
        <v>105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v>0</v>
      </c>
      <c r="I54" s="78">
        <v>0</v>
      </c>
      <c r="J54" s="78"/>
      <c r="K54" s="78"/>
      <c r="L54" s="78"/>
      <c r="M54" s="78"/>
      <c r="N54" s="78"/>
      <c r="O54" s="21"/>
    </row>
    <row r="55" spans="1:15" s="25" customFormat="1" ht="29.25" customHeight="1">
      <c r="A55" s="681" t="s">
        <v>428</v>
      </c>
      <c r="B55" s="683"/>
      <c r="C55" s="27" t="s">
        <v>18</v>
      </c>
      <c r="D55" s="3"/>
      <c r="E55" s="27"/>
      <c r="F55" s="3"/>
      <c r="G55" s="3"/>
      <c r="H55" s="124">
        <f>SUM(H56:H79)</f>
        <v>17759400</v>
      </c>
      <c r="I55" s="97">
        <f>SUM(I56:I79)</f>
        <v>17759400</v>
      </c>
      <c r="J55" s="110"/>
      <c r="K55" s="111" t="s">
        <v>107</v>
      </c>
      <c r="L55" s="111"/>
      <c r="M55" s="111"/>
      <c r="N55" s="111" t="s">
        <v>107</v>
      </c>
      <c r="O55" s="28"/>
    </row>
    <row r="56" spans="1:15" s="25" customFormat="1" ht="16.5" customHeight="1">
      <c r="A56" s="22" t="s">
        <v>4</v>
      </c>
      <c r="B56" s="9"/>
      <c r="C56" s="6" t="s">
        <v>18</v>
      </c>
      <c r="D56" s="14">
        <v>14130030000000000</v>
      </c>
      <c r="E56" s="6" t="s">
        <v>108</v>
      </c>
      <c r="F56" s="6" t="s">
        <v>99</v>
      </c>
      <c r="G56" s="6" t="s">
        <v>109</v>
      </c>
      <c r="H56" s="126">
        <f aca="true" t="shared" si="3" ref="H56:H94">I56</f>
        <v>12714396</v>
      </c>
      <c r="I56" s="112">
        <f>12739000-10404-14200</f>
        <v>12714396</v>
      </c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 t="s">
        <v>76</v>
      </c>
    </row>
    <row r="57" spans="1:15" s="25" customFormat="1" ht="15.75" customHeight="1">
      <c r="A57" s="22" t="s">
        <v>5</v>
      </c>
      <c r="B57" s="9"/>
      <c r="C57" s="693" t="s">
        <v>18</v>
      </c>
      <c r="D57" s="9" t="s">
        <v>81</v>
      </c>
      <c r="E57" s="6" t="s">
        <v>108</v>
      </c>
      <c r="F57" s="693" t="s">
        <v>116</v>
      </c>
      <c r="G57" s="693" t="s">
        <v>111</v>
      </c>
      <c r="H57" s="126">
        <f t="shared" si="3"/>
        <v>2270</v>
      </c>
      <c r="I57" s="78">
        <f>2270</f>
        <v>2270</v>
      </c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/>
    </row>
    <row r="58" spans="1:15" s="25" customFormat="1" ht="12.75">
      <c r="A58" s="22" t="s">
        <v>5</v>
      </c>
      <c r="B58" s="9"/>
      <c r="C58" s="694"/>
      <c r="D58" s="14">
        <v>14130030000000000</v>
      </c>
      <c r="E58" s="9" t="s">
        <v>157</v>
      </c>
      <c r="F58" s="761"/>
      <c r="G58" s="761"/>
      <c r="H58" s="126">
        <f t="shared" si="3"/>
        <v>2400</v>
      </c>
      <c r="I58" s="78">
        <v>2400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>
      <c r="A59" s="81" t="s">
        <v>6</v>
      </c>
      <c r="B59" s="9"/>
      <c r="C59" s="6" t="s">
        <v>18</v>
      </c>
      <c r="D59" s="14">
        <v>14130030000000000</v>
      </c>
      <c r="E59" s="6" t="s">
        <v>108</v>
      </c>
      <c r="F59" s="6" t="s">
        <v>112</v>
      </c>
      <c r="G59" s="6" t="s">
        <v>113</v>
      </c>
      <c r="H59" s="126">
        <f t="shared" si="3"/>
        <v>3855000</v>
      </c>
      <c r="I59" s="78">
        <v>3855000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 t="s">
        <v>76</v>
      </c>
    </row>
    <row r="60" spans="1:15" s="25" customFormat="1" ht="12.75" hidden="1">
      <c r="A60" s="86"/>
      <c r="B60" s="12"/>
      <c r="C60" s="60"/>
      <c r="D60" s="30">
        <v>14130030000000000</v>
      </c>
      <c r="E60" s="29"/>
      <c r="F60" s="31"/>
      <c r="G60" s="31"/>
      <c r="H60" s="126">
        <f t="shared" si="3"/>
        <v>0</v>
      </c>
      <c r="I60" s="78"/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3.5" customHeight="1">
      <c r="A61" s="691" t="s">
        <v>7</v>
      </c>
      <c r="B61" s="9"/>
      <c r="C61" s="693" t="s">
        <v>18</v>
      </c>
      <c r="D61" s="9" t="s">
        <v>81</v>
      </c>
      <c r="E61" s="9" t="s">
        <v>108</v>
      </c>
      <c r="F61" s="693" t="s">
        <v>114</v>
      </c>
      <c r="G61" s="9" t="s">
        <v>115</v>
      </c>
      <c r="H61" s="126">
        <f t="shared" si="3"/>
        <v>32600</v>
      </c>
      <c r="I61" s="113">
        <v>32600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 t="s">
        <v>115</v>
      </c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>
      <c r="A66" s="692"/>
      <c r="B66" s="9"/>
      <c r="C66" s="694"/>
      <c r="D66" s="14">
        <v>14130030000000000</v>
      </c>
      <c r="E66" s="9" t="s">
        <v>108</v>
      </c>
      <c r="F66" s="694"/>
      <c r="G66" s="9" t="s">
        <v>115</v>
      </c>
      <c r="H66" s="126">
        <f t="shared" si="3"/>
        <v>50155</v>
      </c>
      <c r="I66" s="106">
        <f>30000+20155</f>
        <v>50155</v>
      </c>
      <c r="J66" s="78"/>
      <c r="K66" s="107" t="s">
        <v>76</v>
      </c>
      <c r="L66" s="107"/>
      <c r="M66" s="107"/>
      <c r="N66" s="107" t="s">
        <v>76</v>
      </c>
      <c r="O66" s="6"/>
    </row>
    <row r="67" spans="1:15" s="25" customFormat="1" ht="12.75" customHeight="1">
      <c r="A67" s="16" t="s">
        <v>8</v>
      </c>
      <c r="B67" s="9"/>
      <c r="C67" s="6" t="s">
        <v>18</v>
      </c>
      <c r="D67" s="9" t="s">
        <v>81</v>
      </c>
      <c r="E67" s="10" t="s">
        <v>108</v>
      </c>
      <c r="F67" s="11" t="s">
        <v>128</v>
      </c>
      <c r="G67" s="10" t="s">
        <v>115</v>
      </c>
      <c r="H67" s="126">
        <f t="shared" si="3"/>
        <v>102000</v>
      </c>
      <c r="I67" s="113">
        <v>102000</v>
      </c>
      <c r="J67" s="78"/>
      <c r="K67" s="107" t="s">
        <v>76</v>
      </c>
      <c r="L67" s="107"/>
      <c r="M67" s="107"/>
      <c r="N67" s="107" t="s">
        <v>76</v>
      </c>
      <c r="O67" s="6"/>
    </row>
    <row r="68" spans="1:15" s="25" customFormat="1" ht="12.75">
      <c r="A68" s="684" t="s">
        <v>12</v>
      </c>
      <c r="B68" s="9"/>
      <c r="C68" s="693" t="s">
        <v>18</v>
      </c>
      <c r="D68" s="9" t="s">
        <v>81</v>
      </c>
      <c r="E68" s="693" t="s">
        <v>108</v>
      </c>
      <c r="F68" s="693" t="s">
        <v>116</v>
      </c>
      <c r="G68" s="693" t="s">
        <v>115</v>
      </c>
      <c r="H68" s="126">
        <f t="shared" si="3"/>
        <v>248430</v>
      </c>
      <c r="I68" s="113">
        <f>216300+56000-21600-2270</f>
        <v>248430</v>
      </c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>
      <c r="A69" s="686"/>
      <c r="B69" s="9"/>
      <c r="C69" s="694"/>
      <c r="D69" s="14">
        <v>14130030000000000</v>
      </c>
      <c r="E69" s="694"/>
      <c r="F69" s="694"/>
      <c r="G69" s="694"/>
      <c r="H69" s="126">
        <f t="shared" si="3"/>
        <v>0</v>
      </c>
      <c r="I69" s="79"/>
      <c r="J69" s="78"/>
      <c r="K69" s="107" t="s">
        <v>76</v>
      </c>
      <c r="L69" s="107" t="s">
        <v>76</v>
      </c>
      <c r="M69" s="107" t="s">
        <v>76</v>
      </c>
      <c r="N69" s="107" t="s">
        <v>76</v>
      </c>
      <c r="O69" s="6"/>
    </row>
    <row r="70" spans="1:15" s="25" customFormat="1" ht="12.75">
      <c r="A70" s="22" t="s">
        <v>13</v>
      </c>
      <c r="B70" s="9"/>
      <c r="C70" s="9"/>
      <c r="D70" s="15"/>
      <c r="E70" s="9"/>
      <c r="F70" s="9" t="s">
        <v>117</v>
      </c>
      <c r="G70" s="9" t="s">
        <v>115</v>
      </c>
      <c r="H70" s="126">
        <f t="shared" si="3"/>
        <v>0</v>
      </c>
      <c r="I70" s="78"/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22" t="s">
        <v>427</v>
      </c>
      <c r="B71" s="9"/>
      <c r="C71" s="6" t="s">
        <v>18</v>
      </c>
      <c r="D71" s="9" t="s">
        <v>81</v>
      </c>
      <c r="E71" s="471" t="s">
        <v>232</v>
      </c>
      <c r="F71" s="9" t="s">
        <v>116</v>
      </c>
      <c r="G71" s="10" t="s">
        <v>115</v>
      </c>
      <c r="H71" s="126">
        <f t="shared" si="3"/>
        <v>21600</v>
      </c>
      <c r="I71" s="78">
        <v>21600</v>
      </c>
      <c r="J71" s="78"/>
      <c r="K71" s="107"/>
      <c r="L71" s="107"/>
      <c r="M71" s="107"/>
      <c r="N71" s="107"/>
      <c r="O71" s="6"/>
    </row>
    <row r="72" spans="1:15" s="25" customFormat="1" ht="25.5">
      <c r="A72" s="22" t="s">
        <v>245</v>
      </c>
      <c r="B72" s="9"/>
      <c r="C72" s="9" t="s">
        <v>18</v>
      </c>
      <c r="D72" s="14">
        <v>14130010000000000</v>
      </c>
      <c r="E72" s="9" t="s">
        <v>108</v>
      </c>
      <c r="F72" s="9" t="s">
        <v>246</v>
      </c>
      <c r="G72" s="10" t="s">
        <v>109</v>
      </c>
      <c r="H72" s="126">
        <f t="shared" si="3"/>
        <v>50104</v>
      </c>
      <c r="I72" s="78">
        <f>25500+10404+14200</f>
        <v>50104</v>
      </c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22" t="s">
        <v>14</v>
      </c>
      <c r="B73" s="9"/>
      <c r="C73" s="9" t="s">
        <v>18</v>
      </c>
      <c r="D73" s="14">
        <v>14130030000000000</v>
      </c>
      <c r="E73" s="695" t="s">
        <v>108</v>
      </c>
      <c r="F73" s="9" t="s">
        <v>118</v>
      </c>
      <c r="G73" s="9" t="s">
        <v>115</v>
      </c>
      <c r="H73" s="126">
        <f t="shared" si="3"/>
        <v>639045</v>
      </c>
      <c r="I73" s="79">
        <f>641445-2400</f>
        <v>639045</v>
      </c>
      <c r="J73" s="78"/>
      <c r="K73" s="107" t="s">
        <v>76</v>
      </c>
      <c r="L73" s="107" t="s">
        <v>76</v>
      </c>
      <c r="M73" s="107" t="s">
        <v>76</v>
      </c>
      <c r="N73" s="107" t="s">
        <v>76</v>
      </c>
      <c r="O73" s="6" t="s">
        <v>76</v>
      </c>
    </row>
    <row r="74" spans="1:15" s="25" customFormat="1" ht="51" hidden="1">
      <c r="A74" s="82" t="s">
        <v>237</v>
      </c>
      <c r="B74" s="9"/>
      <c r="C74" s="83" t="s">
        <v>18</v>
      </c>
      <c r="D74" s="9" t="s">
        <v>81</v>
      </c>
      <c r="E74" s="695"/>
      <c r="F74" s="84" t="s">
        <v>238</v>
      </c>
      <c r="G74" s="84" t="s">
        <v>115</v>
      </c>
      <c r="H74" s="126">
        <f t="shared" si="3"/>
        <v>0</v>
      </c>
      <c r="I74" s="113"/>
      <c r="J74" s="78"/>
      <c r="K74" s="107" t="s">
        <v>76</v>
      </c>
      <c r="L74" s="107" t="s">
        <v>76</v>
      </c>
      <c r="M74" s="107" t="s">
        <v>76</v>
      </c>
      <c r="N74" s="107" t="s">
        <v>76</v>
      </c>
      <c r="O74" s="6"/>
    </row>
    <row r="75" spans="1:15" s="25" customFormat="1" ht="38.25">
      <c r="A75" s="82" t="s">
        <v>239</v>
      </c>
      <c r="B75" s="9"/>
      <c r="C75" s="83" t="s">
        <v>18</v>
      </c>
      <c r="D75" s="9" t="s">
        <v>81</v>
      </c>
      <c r="E75" s="83" t="s">
        <v>108</v>
      </c>
      <c r="F75" s="84" t="s">
        <v>240</v>
      </c>
      <c r="G75" s="84" t="s">
        <v>115</v>
      </c>
      <c r="H75" s="126">
        <f t="shared" si="3"/>
        <v>1400</v>
      </c>
      <c r="I75" s="106">
        <v>1400</v>
      </c>
      <c r="J75" s="78"/>
      <c r="K75" s="107" t="s">
        <v>76</v>
      </c>
      <c r="L75" s="101" t="s">
        <v>76</v>
      </c>
      <c r="M75" s="101" t="s">
        <v>76</v>
      </c>
      <c r="N75" s="101" t="s">
        <v>76</v>
      </c>
      <c r="O75" s="6"/>
    </row>
    <row r="76" spans="1:15" s="25" customFormat="1" ht="25.5">
      <c r="A76" s="22" t="s">
        <v>241</v>
      </c>
      <c r="B76" s="9"/>
      <c r="C76" s="9" t="s">
        <v>18</v>
      </c>
      <c r="D76" s="14">
        <v>14130030000000000</v>
      </c>
      <c r="E76" s="10" t="s">
        <v>108</v>
      </c>
      <c r="F76" s="9" t="s">
        <v>242</v>
      </c>
      <c r="G76" s="9" t="s">
        <v>115</v>
      </c>
      <c r="H76" s="126">
        <f t="shared" si="3"/>
        <v>40000</v>
      </c>
      <c r="I76" s="376">
        <f>20000+20000</f>
        <v>40000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25.5">
      <c r="A77" s="394" t="s">
        <v>243</v>
      </c>
      <c r="B77" s="6"/>
      <c r="C77" s="6" t="s">
        <v>18</v>
      </c>
      <c r="D77" s="395">
        <v>14130030000000000</v>
      </c>
      <c r="E77" s="6" t="s">
        <v>108</v>
      </c>
      <c r="F77" s="6" t="s">
        <v>244</v>
      </c>
      <c r="G77" s="6" t="s">
        <v>115</v>
      </c>
      <c r="H77" s="126">
        <f t="shared" si="3"/>
        <v>0</v>
      </c>
      <c r="I77" s="376">
        <f>20000-20000</f>
        <v>0</v>
      </c>
      <c r="J77" s="107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12.75" hidden="1">
      <c r="A78" s="691" t="s">
        <v>188</v>
      </c>
      <c r="B78" s="9"/>
      <c r="C78" s="693" t="s">
        <v>18</v>
      </c>
      <c r="D78" s="9" t="s">
        <v>81</v>
      </c>
      <c r="E78" s="693" t="s">
        <v>108</v>
      </c>
      <c r="F78" s="693" t="s">
        <v>119</v>
      </c>
      <c r="G78" s="693" t="s">
        <v>115</v>
      </c>
      <c r="H78" s="126">
        <f t="shared" si="3"/>
        <v>0</v>
      </c>
      <c r="I78" s="78"/>
      <c r="J78" s="100"/>
      <c r="K78" s="101" t="s">
        <v>76</v>
      </c>
      <c r="L78" s="101" t="s">
        <v>76</v>
      </c>
      <c r="M78" s="101" t="s">
        <v>76</v>
      </c>
      <c r="N78" s="101" t="s">
        <v>76</v>
      </c>
      <c r="O78" s="6"/>
    </row>
    <row r="79" spans="1:15" s="25" customFormat="1" ht="12.75" hidden="1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0</v>
      </c>
      <c r="I79" s="79"/>
      <c r="J79" s="100"/>
      <c r="K79" s="101" t="s">
        <v>76</v>
      </c>
      <c r="L79" s="101" t="s">
        <v>76</v>
      </c>
      <c r="M79" s="101" t="s">
        <v>76</v>
      </c>
      <c r="N79" s="101" t="s">
        <v>76</v>
      </c>
      <c r="O79" s="6" t="s">
        <v>76</v>
      </c>
    </row>
    <row r="80" spans="1:15" s="25" customFormat="1" ht="27.75" customHeight="1">
      <c r="A80" s="681" t="s">
        <v>189</v>
      </c>
      <c r="B80" s="683"/>
      <c r="C80" s="27" t="s">
        <v>20</v>
      </c>
      <c r="D80" s="3"/>
      <c r="E80" s="27"/>
      <c r="F80" s="3"/>
      <c r="G80" s="3"/>
      <c r="H80" s="124">
        <f t="shared" si="3"/>
        <v>3949039</v>
      </c>
      <c r="I80" s="97">
        <f>SUM(I81:I97)</f>
        <v>3949039</v>
      </c>
      <c r="J80" s="110"/>
      <c r="K80" s="111" t="s">
        <v>107</v>
      </c>
      <c r="L80" s="111"/>
      <c r="M80" s="111"/>
      <c r="N80" s="111" t="s">
        <v>107</v>
      </c>
      <c r="O80" s="28"/>
    </row>
    <row r="81" spans="1:15" s="25" customFormat="1" ht="15" customHeight="1">
      <c r="A81" s="22" t="s">
        <v>9</v>
      </c>
      <c r="B81" s="9"/>
      <c r="C81" s="9" t="s">
        <v>20</v>
      </c>
      <c r="D81" s="9" t="s">
        <v>81</v>
      </c>
      <c r="E81" s="9" t="s">
        <v>108</v>
      </c>
      <c r="F81" s="9" t="s">
        <v>120</v>
      </c>
      <c r="G81" s="9" t="s">
        <v>115</v>
      </c>
      <c r="H81" s="126">
        <f t="shared" si="3"/>
        <v>934139</v>
      </c>
      <c r="I81" s="78">
        <f>1083500-149361</f>
        <v>934139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5" customHeight="1">
      <c r="A82" s="82" t="s">
        <v>8</v>
      </c>
      <c r="B82" s="9"/>
      <c r="C82" s="9" t="s">
        <v>20</v>
      </c>
      <c r="D82" s="9" t="s">
        <v>81</v>
      </c>
      <c r="E82" s="10" t="s">
        <v>108</v>
      </c>
      <c r="F82" s="10" t="s">
        <v>128</v>
      </c>
      <c r="G82" s="10" t="s">
        <v>115</v>
      </c>
      <c r="H82" s="126">
        <f t="shared" si="3"/>
        <v>17547.48</v>
      </c>
      <c r="I82" s="78">
        <v>17547.48</v>
      </c>
      <c r="J82" s="78"/>
      <c r="K82" s="107"/>
      <c r="L82" s="107"/>
      <c r="M82" s="107"/>
      <c r="N82" s="107"/>
      <c r="O82" s="6"/>
    </row>
    <row r="83" spans="1:15" s="25" customFormat="1" ht="15" customHeight="1">
      <c r="A83" s="691" t="s">
        <v>11</v>
      </c>
      <c r="B83" s="9"/>
      <c r="C83" s="693" t="s">
        <v>20</v>
      </c>
      <c r="D83" s="9" t="s">
        <v>81</v>
      </c>
      <c r="E83" s="693" t="s">
        <v>108</v>
      </c>
      <c r="F83" s="693" t="s">
        <v>121</v>
      </c>
      <c r="G83" s="693" t="s">
        <v>115</v>
      </c>
      <c r="H83" s="126">
        <f t="shared" si="3"/>
        <v>231900</v>
      </c>
      <c r="I83" s="112">
        <f>246900-15000</f>
        <v>231900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2020000</v>
      </c>
      <c r="I84" s="112">
        <v>2020000</v>
      </c>
      <c r="J84" s="362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691" t="s">
        <v>12</v>
      </c>
      <c r="B85" s="9"/>
      <c r="C85" s="693" t="s">
        <v>20</v>
      </c>
      <c r="D85" s="9" t="s">
        <v>81</v>
      </c>
      <c r="E85" s="693" t="s">
        <v>108</v>
      </c>
      <c r="F85" s="693" t="s">
        <v>116</v>
      </c>
      <c r="G85" s="693" t="s">
        <v>115</v>
      </c>
      <c r="H85" s="126">
        <f t="shared" si="3"/>
        <v>82352.52</v>
      </c>
      <c r="I85" s="78">
        <f>99900-17547.48</f>
        <v>82352.52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692"/>
      <c r="B86" s="9"/>
      <c r="C86" s="694"/>
      <c r="D86" s="14">
        <v>14130030000000000</v>
      </c>
      <c r="E86" s="694"/>
      <c r="F86" s="694"/>
      <c r="G86" s="694"/>
      <c r="H86" s="126">
        <f t="shared" si="3"/>
        <v>534800</v>
      </c>
      <c r="I86" s="115">
        <v>534800</v>
      </c>
      <c r="J86" s="78"/>
      <c r="K86" s="107" t="s">
        <v>76</v>
      </c>
      <c r="L86" s="107"/>
      <c r="M86" s="107"/>
      <c r="N86" s="107" t="s">
        <v>76</v>
      </c>
      <c r="O86" s="6"/>
    </row>
    <row r="87" spans="1:15" s="25" customFormat="1" ht="12.75">
      <c r="A87" s="22" t="s">
        <v>249</v>
      </c>
      <c r="B87" s="9"/>
      <c r="C87" s="9" t="s">
        <v>20</v>
      </c>
      <c r="D87" s="9" t="s">
        <v>81</v>
      </c>
      <c r="E87" s="9" t="s">
        <v>108</v>
      </c>
      <c r="F87" s="9" t="s">
        <v>206</v>
      </c>
      <c r="G87" s="9" t="s">
        <v>122</v>
      </c>
      <c r="H87" s="126">
        <f t="shared" si="3"/>
        <v>55400</v>
      </c>
      <c r="I87" s="78">
        <v>55400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22" t="s">
        <v>249</v>
      </c>
      <c r="B88" s="9"/>
      <c r="C88" s="9" t="s">
        <v>20</v>
      </c>
      <c r="D88" s="9" t="s">
        <v>81</v>
      </c>
      <c r="E88" s="9" t="s">
        <v>108</v>
      </c>
      <c r="F88" s="9" t="s">
        <v>206</v>
      </c>
      <c r="G88" s="9" t="s">
        <v>250</v>
      </c>
      <c r="H88" s="126">
        <f t="shared" si="3"/>
        <v>4800</v>
      </c>
      <c r="I88" s="79">
        <v>4800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 hidden="1">
      <c r="A89" s="22" t="s">
        <v>14</v>
      </c>
      <c r="B89" s="9"/>
      <c r="C89" s="9" t="s">
        <v>20</v>
      </c>
      <c r="D89" s="9" t="s">
        <v>81</v>
      </c>
      <c r="E89" s="9" t="s">
        <v>124</v>
      </c>
      <c r="F89" s="9" t="s">
        <v>118</v>
      </c>
      <c r="G89" s="9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51" hidden="1">
      <c r="A90" s="82" t="s">
        <v>237</v>
      </c>
      <c r="B90" s="9"/>
      <c r="C90" s="83" t="s">
        <v>18</v>
      </c>
      <c r="D90" s="9" t="s">
        <v>81</v>
      </c>
      <c r="E90" s="83" t="s">
        <v>124</v>
      </c>
      <c r="F90" s="84" t="s">
        <v>238</v>
      </c>
      <c r="G90" s="84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38.25" hidden="1">
      <c r="A91" s="82" t="s">
        <v>239</v>
      </c>
      <c r="B91" s="9"/>
      <c r="C91" s="83" t="s">
        <v>18</v>
      </c>
      <c r="D91" s="9" t="s">
        <v>81</v>
      </c>
      <c r="E91" s="83" t="s">
        <v>124</v>
      </c>
      <c r="F91" s="84" t="s">
        <v>240</v>
      </c>
      <c r="G91" s="84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>
      <c r="A92" s="85" t="s">
        <v>248</v>
      </c>
      <c r="B92" s="9"/>
      <c r="C92" s="9" t="s">
        <v>20</v>
      </c>
      <c r="D92" s="9" t="s">
        <v>81</v>
      </c>
      <c r="E92" s="83" t="s">
        <v>108</v>
      </c>
      <c r="F92" s="10" t="s">
        <v>247</v>
      </c>
      <c r="G92" s="84" t="s">
        <v>115</v>
      </c>
      <c r="H92" s="126">
        <f t="shared" si="3"/>
        <v>20000</v>
      </c>
      <c r="I92" s="78">
        <f>10000+10000+15000-15000</f>
        <v>20000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25.5">
      <c r="A93" s="22" t="s">
        <v>241</v>
      </c>
      <c r="B93" s="9"/>
      <c r="C93" s="9" t="s">
        <v>20</v>
      </c>
      <c r="D93" s="9" t="s">
        <v>81</v>
      </c>
      <c r="E93" s="9" t="s">
        <v>108</v>
      </c>
      <c r="F93" s="9" t="s">
        <v>242</v>
      </c>
      <c r="G93" s="9" t="s">
        <v>115</v>
      </c>
      <c r="H93" s="126">
        <f t="shared" si="3"/>
        <v>48100</v>
      </c>
      <c r="I93" s="78">
        <f>33100+15000</f>
        <v>48100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25.5" hidden="1">
      <c r="A94" s="85" t="s">
        <v>243</v>
      </c>
      <c r="B94" s="57"/>
      <c r="C94" s="9" t="s">
        <v>20</v>
      </c>
      <c r="D94" s="9" t="s">
        <v>81</v>
      </c>
      <c r="E94" s="9" t="s">
        <v>108</v>
      </c>
      <c r="F94" s="9" t="s">
        <v>244</v>
      </c>
      <c r="G94" s="9" t="s">
        <v>115</v>
      </c>
      <c r="H94" s="126">
        <f t="shared" si="3"/>
        <v>0</v>
      </c>
      <c r="I94" s="78">
        <f>10000-10000</f>
        <v>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12.75" hidden="1">
      <c r="A95" s="22"/>
      <c r="B95" s="9"/>
      <c r="C95" s="9"/>
      <c r="D95" s="9"/>
      <c r="E95" s="9"/>
      <c r="F95" s="9"/>
      <c r="G95" s="9"/>
      <c r="H95" s="126"/>
      <c r="I95" s="78"/>
      <c r="J95" s="78"/>
      <c r="K95" s="107"/>
      <c r="L95" s="107"/>
      <c r="M95" s="107"/>
      <c r="N95" s="107"/>
      <c r="O95" s="6"/>
    </row>
    <row r="96" spans="1:15" s="25" customFormat="1" ht="12.75" hidden="1">
      <c r="A96" s="22"/>
      <c r="B96" s="9"/>
      <c r="C96" s="9"/>
      <c r="D96" s="9"/>
      <c r="E96" s="9"/>
      <c r="F96" s="9"/>
      <c r="G96" s="9"/>
      <c r="H96" s="126"/>
      <c r="I96" s="78"/>
      <c r="J96" s="78"/>
      <c r="K96" s="107"/>
      <c r="L96" s="107"/>
      <c r="M96" s="107"/>
      <c r="N96" s="107"/>
      <c r="O96" s="6"/>
    </row>
    <row r="97" spans="1:15" s="25" customFormat="1" ht="12.75" hidden="1">
      <c r="A97" s="22" t="s">
        <v>188</v>
      </c>
      <c r="B97" s="9"/>
      <c r="C97" s="9" t="s">
        <v>20</v>
      </c>
      <c r="D97" s="9" t="s">
        <v>81</v>
      </c>
      <c r="E97" s="9" t="s">
        <v>108</v>
      </c>
      <c r="F97" s="9" t="s">
        <v>119</v>
      </c>
      <c r="G97" s="9" t="s">
        <v>115</v>
      </c>
      <c r="H97" s="126">
        <f>I97</f>
        <v>0</v>
      </c>
      <c r="I97" s="78"/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3.5">
      <c r="A98" s="681" t="s">
        <v>125</v>
      </c>
      <c r="B98" s="683"/>
      <c r="C98" s="27" t="s">
        <v>21</v>
      </c>
      <c r="D98" s="3"/>
      <c r="E98" s="27"/>
      <c r="F98" s="3"/>
      <c r="G98" s="3"/>
      <c r="H98" s="124">
        <f>K98</f>
        <v>653340</v>
      </c>
      <c r="I98" s="98"/>
      <c r="J98" s="97"/>
      <c r="K98" s="97">
        <f>K101</f>
        <v>653340</v>
      </c>
      <c r="L98" s="110"/>
      <c r="M98" s="110"/>
      <c r="N98" s="111" t="s">
        <v>107</v>
      </c>
      <c r="O98" s="28"/>
    </row>
    <row r="99" spans="1:15" s="25" customFormat="1" ht="12.75" hidden="1">
      <c r="A99" s="22" t="s">
        <v>4</v>
      </c>
      <c r="B99" s="9"/>
      <c r="C99" s="9"/>
      <c r="D99" s="9"/>
      <c r="E99" s="9"/>
      <c r="F99" s="9" t="s">
        <v>99</v>
      </c>
      <c r="G99" s="9" t="s">
        <v>109</v>
      </c>
      <c r="H99" s="126">
        <f>I99</f>
        <v>0</v>
      </c>
      <c r="I99" s="78"/>
      <c r="J99" s="78"/>
      <c r="K99" s="116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2.75" hidden="1">
      <c r="A100" s="22" t="s">
        <v>5</v>
      </c>
      <c r="B100" s="9"/>
      <c r="C100" s="9"/>
      <c r="D100" s="9"/>
      <c r="E100" s="9"/>
      <c r="F100" s="9"/>
      <c r="G100" s="9"/>
      <c r="H100" s="126">
        <f>I100</f>
        <v>0</v>
      </c>
      <c r="I100" s="78"/>
      <c r="J100" s="78"/>
      <c r="K100" s="116" t="s">
        <v>76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3.5">
      <c r="A101" s="22" t="s">
        <v>12</v>
      </c>
      <c r="B101" s="9"/>
      <c r="C101" s="41" t="s">
        <v>21</v>
      </c>
      <c r="D101" s="9" t="s">
        <v>89</v>
      </c>
      <c r="E101" s="9" t="s">
        <v>126</v>
      </c>
      <c r="F101" s="9" t="s">
        <v>116</v>
      </c>
      <c r="G101" s="9" t="s">
        <v>115</v>
      </c>
      <c r="H101" s="126">
        <f aca="true" t="shared" si="4" ref="H101:H116">K101</f>
        <v>653340</v>
      </c>
      <c r="I101" s="107" t="s">
        <v>76</v>
      </c>
      <c r="J101" s="78"/>
      <c r="K101" s="391">
        <f>676900-23560</f>
        <v>653340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8.75" customHeight="1" hidden="1">
      <c r="A102" s="687" t="s">
        <v>127</v>
      </c>
      <c r="B102" s="688"/>
      <c r="C102" s="27" t="s">
        <v>22</v>
      </c>
      <c r="D102" s="3"/>
      <c r="E102" s="3"/>
      <c r="F102" s="3"/>
      <c r="G102" s="3"/>
      <c r="H102" s="131">
        <f t="shared" si="4"/>
        <v>0</v>
      </c>
      <c r="I102" s="117"/>
      <c r="J102" s="110"/>
      <c r="K102" s="118">
        <f>K103</f>
        <v>0</v>
      </c>
      <c r="L102" s="117"/>
      <c r="M102" s="117"/>
      <c r="N102" s="117"/>
      <c r="O102" s="6"/>
    </row>
    <row r="103" spans="1:15" s="25" customFormat="1" ht="13.5" customHeight="1" hidden="1">
      <c r="A103" s="22" t="s">
        <v>12</v>
      </c>
      <c r="B103" s="40"/>
      <c r="C103" s="41" t="s">
        <v>22</v>
      </c>
      <c r="D103" s="9" t="s">
        <v>81</v>
      </c>
      <c r="E103" s="9" t="s">
        <v>108</v>
      </c>
      <c r="F103" s="9" t="s">
        <v>116</v>
      </c>
      <c r="G103" s="9" t="s">
        <v>115</v>
      </c>
      <c r="H103" s="126">
        <f t="shared" si="4"/>
        <v>0</v>
      </c>
      <c r="I103" s="107" t="s">
        <v>76</v>
      </c>
      <c r="J103" s="78"/>
      <c r="K103" s="116"/>
      <c r="L103" s="107"/>
      <c r="M103" s="107"/>
      <c r="N103" s="107" t="s">
        <v>76</v>
      </c>
      <c r="O103" s="6"/>
    </row>
    <row r="104" spans="1:15" s="25" customFormat="1" ht="28.5" customHeight="1">
      <c r="A104" s="39" t="s">
        <v>190</v>
      </c>
      <c r="B104" s="55"/>
      <c r="C104" s="27" t="s">
        <v>41</v>
      </c>
      <c r="D104" s="3"/>
      <c r="E104" s="3"/>
      <c r="F104" s="3"/>
      <c r="G104" s="3"/>
      <c r="H104" s="124">
        <f t="shared" si="4"/>
        <v>24000</v>
      </c>
      <c r="I104" s="119"/>
      <c r="J104" s="97"/>
      <c r="K104" s="120">
        <f>K105</f>
        <v>24000</v>
      </c>
      <c r="L104" s="117"/>
      <c r="M104" s="117"/>
      <c r="N104" s="117"/>
      <c r="O104" s="6"/>
    </row>
    <row r="105" spans="1:15" s="25" customFormat="1" ht="12.75">
      <c r="A105" s="22" t="s">
        <v>12</v>
      </c>
      <c r="B105" s="40"/>
      <c r="C105" s="9" t="s">
        <v>41</v>
      </c>
      <c r="D105" s="9" t="s">
        <v>81</v>
      </c>
      <c r="E105" s="9" t="s">
        <v>154</v>
      </c>
      <c r="F105" s="9" t="s">
        <v>116</v>
      </c>
      <c r="G105" s="9" t="s">
        <v>115</v>
      </c>
      <c r="H105" s="126">
        <f t="shared" si="4"/>
        <v>24000</v>
      </c>
      <c r="I105" s="107" t="s">
        <v>76</v>
      </c>
      <c r="J105" s="78"/>
      <c r="K105" s="116">
        <v>24000</v>
      </c>
      <c r="L105" s="107"/>
      <c r="M105" s="107"/>
      <c r="N105" s="107" t="s">
        <v>76</v>
      </c>
      <c r="O105" s="6"/>
    </row>
    <row r="106" spans="1:15" s="25" customFormat="1" ht="36" customHeight="1">
      <c r="A106" s="681" t="s">
        <v>374</v>
      </c>
      <c r="B106" s="683"/>
      <c r="C106" s="27" t="s">
        <v>373</v>
      </c>
      <c r="D106" s="3"/>
      <c r="E106" s="3"/>
      <c r="F106" s="3"/>
      <c r="G106" s="3"/>
      <c r="H106" s="435">
        <f t="shared" si="4"/>
        <v>60000</v>
      </c>
      <c r="I106" s="436" t="s">
        <v>76</v>
      </c>
      <c r="J106" s="437"/>
      <c r="K106" s="435">
        <f>SUM(K107:K110)</f>
        <v>60000</v>
      </c>
      <c r="L106" s="435">
        <f>SUM(L107:L110)</f>
        <v>0</v>
      </c>
      <c r="M106" s="435">
        <f>SUM(M107:M110)</f>
        <v>0</v>
      </c>
      <c r="N106" s="435"/>
      <c r="O106" s="6"/>
    </row>
    <row r="107" spans="1:15" s="25" customFormat="1" ht="12.75">
      <c r="A107" s="8" t="s">
        <v>335</v>
      </c>
      <c r="B107" s="40"/>
      <c r="C107" s="60" t="s">
        <v>373</v>
      </c>
      <c r="D107" s="434" t="s">
        <v>332</v>
      </c>
      <c r="E107" s="9" t="s">
        <v>108</v>
      </c>
      <c r="F107" s="9" t="s">
        <v>116</v>
      </c>
      <c r="G107" s="9" t="s">
        <v>115</v>
      </c>
      <c r="H107" s="433">
        <f t="shared" si="4"/>
        <v>43200</v>
      </c>
      <c r="I107" s="107"/>
      <c r="J107" s="78"/>
      <c r="K107" s="116">
        <v>43200</v>
      </c>
      <c r="L107" s="107"/>
      <c r="M107" s="107"/>
      <c r="N107" s="107"/>
      <c r="O107" s="6"/>
    </row>
    <row r="108" spans="1:15" s="25" customFormat="1" ht="12.75">
      <c r="A108" s="8" t="s">
        <v>336</v>
      </c>
      <c r="B108" s="40"/>
      <c r="C108" s="60" t="s">
        <v>373</v>
      </c>
      <c r="D108" s="434" t="s">
        <v>214</v>
      </c>
      <c r="E108" s="9" t="s">
        <v>108</v>
      </c>
      <c r="F108" s="9" t="s">
        <v>116</v>
      </c>
      <c r="G108" s="9" t="s">
        <v>115</v>
      </c>
      <c r="H108" s="433">
        <f t="shared" si="4"/>
        <v>4800</v>
      </c>
      <c r="I108" s="107"/>
      <c r="J108" s="78"/>
      <c r="K108" s="116">
        <v>4800</v>
      </c>
      <c r="L108" s="107"/>
      <c r="M108" s="107"/>
      <c r="N108" s="107"/>
      <c r="O108" s="6"/>
    </row>
    <row r="109" spans="1:15" s="25" customFormat="1" ht="12.75">
      <c r="A109" s="8" t="s">
        <v>336</v>
      </c>
      <c r="B109" s="40"/>
      <c r="C109" s="60" t="s">
        <v>373</v>
      </c>
      <c r="D109" s="434" t="s">
        <v>333</v>
      </c>
      <c r="E109" s="9" t="s">
        <v>108</v>
      </c>
      <c r="F109" s="9" t="s">
        <v>116</v>
      </c>
      <c r="G109" s="9" t="s">
        <v>115</v>
      </c>
      <c r="H109" s="433">
        <f t="shared" si="4"/>
        <v>10800</v>
      </c>
      <c r="I109" s="107"/>
      <c r="J109" s="78"/>
      <c r="K109" s="116">
        <v>10800</v>
      </c>
      <c r="L109" s="107"/>
      <c r="M109" s="107"/>
      <c r="N109" s="107"/>
      <c r="O109" s="6"/>
    </row>
    <row r="110" spans="1:15" s="25" customFormat="1" ht="12.75">
      <c r="A110" s="8" t="s">
        <v>337</v>
      </c>
      <c r="B110" s="40"/>
      <c r="C110" s="60" t="s">
        <v>373</v>
      </c>
      <c r="D110" s="434" t="s">
        <v>216</v>
      </c>
      <c r="E110" s="9" t="s">
        <v>108</v>
      </c>
      <c r="F110" s="9" t="s">
        <v>116</v>
      </c>
      <c r="G110" s="9" t="s">
        <v>115</v>
      </c>
      <c r="H110" s="433">
        <f t="shared" si="4"/>
        <v>1200</v>
      </c>
      <c r="I110" s="107"/>
      <c r="J110" s="78"/>
      <c r="K110" s="116">
        <v>1200</v>
      </c>
      <c r="L110" s="107"/>
      <c r="M110" s="107"/>
      <c r="N110" s="107"/>
      <c r="O110" s="6"/>
    </row>
    <row r="111" spans="1:15" s="25" customFormat="1" ht="41.25" customHeight="1">
      <c r="A111" s="681" t="s">
        <v>334</v>
      </c>
      <c r="B111" s="683"/>
      <c r="C111" s="27" t="s">
        <v>211</v>
      </c>
      <c r="D111" s="3"/>
      <c r="E111" s="3"/>
      <c r="F111" s="3"/>
      <c r="G111" s="3"/>
      <c r="H111" s="124">
        <f t="shared" si="4"/>
        <v>80000</v>
      </c>
      <c r="I111" s="117" t="s">
        <v>76</v>
      </c>
      <c r="J111" s="110"/>
      <c r="K111" s="97">
        <f>SUM(K112:K116)</f>
        <v>80000</v>
      </c>
      <c r="L111" s="117"/>
      <c r="M111" s="117"/>
      <c r="N111" s="117" t="s">
        <v>76</v>
      </c>
      <c r="O111" s="6"/>
    </row>
    <row r="112" spans="1:15" s="25" customFormat="1" ht="12.75">
      <c r="A112" s="22" t="s">
        <v>12</v>
      </c>
      <c r="B112" s="57"/>
      <c r="C112" s="9" t="s">
        <v>204</v>
      </c>
      <c r="D112" s="9" t="s">
        <v>81</v>
      </c>
      <c r="E112" s="9" t="s">
        <v>108</v>
      </c>
      <c r="F112" s="9" t="s">
        <v>116</v>
      </c>
      <c r="G112" s="9" t="s">
        <v>115</v>
      </c>
      <c r="H112" s="126">
        <f t="shared" si="4"/>
        <v>80000</v>
      </c>
      <c r="I112" s="107" t="s">
        <v>76</v>
      </c>
      <c r="J112" s="107"/>
      <c r="K112" s="116">
        <v>80000</v>
      </c>
      <c r="L112" s="107"/>
      <c r="M112" s="107"/>
      <c r="N112" s="107" t="s">
        <v>76</v>
      </c>
      <c r="O112" s="6"/>
    </row>
    <row r="113" spans="1:15" s="25" customFormat="1" ht="12.75">
      <c r="A113" s="8" t="s">
        <v>335</v>
      </c>
      <c r="B113" s="9"/>
      <c r="C113" s="9" t="s">
        <v>211</v>
      </c>
      <c r="D113" s="393" t="s">
        <v>332</v>
      </c>
      <c r="E113" s="9" t="s">
        <v>108</v>
      </c>
      <c r="F113" s="9" t="s">
        <v>116</v>
      </c>
      <c r="G113" s="9" t="s">
        <v>115</v>
      </c>
      <c r="H113" s="126">
        <f t="shared" si="4"/>
        <v>0</v>
      </c>
      <c r="I113" s="107" t="s">
        <v>76</v>
      </c>
      <c r="J113" s="78"/>
      <c r="K113" s="109"/>
      <c r="L113" s="107"/>
      <c r="M113" s="107"/>
      <c r="N113" s="107" t="s">
        <v>76</v>
      </c>
      <c r="O113" s="64" t="s">
        <v>76</v>
      </c>
    </row>
    <row r="114" spans="1:15" s="25" customFormat="1" ht="12.75">
      <c r="A114" s="8" t="s">
        <v>336</v>
      </c>
      <c r="B114" s="9"/>
      <c r="C114" s="9" t="s">
        <v>211</v>
      </c>
      <c r="D114" s="393" t="s">
        <v>214</v>
      </c>
      <c r="E114" s="9" t="s">
        <v>108</v>
      </c>
      <c r="F114" s="9" t="s">
        <v>116</v>
      </c>
      <c r="G114" s="9" t="s">
        <v>115</v>
      </c>
      <c r="H114" s="126">
        <f t="shared" si="4"/>
        <v>0</v>
      </c>
      <c r="I114" s="107" t="s">
        <v>76</v>
      </c>
      <c r="J114" s="78"/>
      <c r="K114" s="78"/>
      <c r="L114" s="107"/>
      <c r="M114" s="107"/>
      <c r="N114" s="107" t="s">
        <v>76</v>
      </c>
      <c r="O114" s="6"/>
    </row>
    <row r="115" spans="1:15" s="25" customFormat="1" ht="12.75">
      <c r="A115" s="8" t="s">
        <v>336</v>
      </c>
      <c r="B115" s="9"/>
      <c r="C115" s="9" t="s">
        <v>211</v>
      </c>
      <c r="D115" s="393" t="s">
        <v>333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78"/>
      <c r="L115" s="107"/>
      <c r="M115" s="107"/>
      <c r="N115" s="107" t="s">
        <v>76</v>
      </c>
      <c r="O115" s="6"/>
    </row>
    <row r="116" spans="1:15" s="25" customFormat="1" ht="12.75">
      <c r="A116" s="8" t="s">
        <v>337</v>
      </c>
      <c r="B116" s="9"/>
      <c r="C116" s="9" t="s">
        <v>211</v>
      </c>
      <c r="D116" s="393" t="s">
        <v>216</v>
      </c>
      <c r="E116" s="9" t="s">
        <v>108</v>
      </c>
      <c r="F116" s="9" t="s">
        <v>116</v>
      </c>
      <c r="G116" s="9" t="s">
        <v>115</v>
      </c>
      <c r="H116" s="126">
        <f t="shared" si="4"/>
        <v>0</v>
      </c>
      <c r="I116" s="107" t="s">
        <v>76</v>
      </c>
      <c r="J116" s="78"/>
      <c r="K116" s="78"/>
      <c r="L116" s="107"/>
      <c r="M116" s="107"/>
      <c r="N116" s="107" t="s">
        <v>76</v>
      </c>
      <c r="O116" s="6"/>
    </row>
    <row r="117" spans="1:15" s="25" customFormat="1" ht="41.25" customHeight="1">
      <c r="A117" s="681" t="s">
        <v>360</v>
      </c>
      <c r="B117" s="683"/>
      <c r="C117" s="27" t="s">
        <v>51</v>
      </c>
      <c r="D117" s="43"/>
      <c r="E117" s="42"/>
      <c r="F117" s="42"/>
      <c r="G117" s="42"/>
      <c r="H117" s="124"/>
      <c r="I117" s="119"/>
      <c r="J117" s="97"/>
      <c r="K117" s="120">
        <f>SUM(K119:K127)</f>
        <v>411025.7</v>
      </c>
      <c r="L117" s="119"/>
      <c r="M117" s="119"/>
      <c r="N117" s="119"/>
      <c r="O117" s="6"/>
    </row>
    <row r="118" spans="1:15" s="25" customFormat="1" ht="12.75" hidden="1">
      <c r="A118" s="61" t="s">
        <v>11</v>
      </c>
      <c r="B118" s="59"/>
      <c r="C118" s="59" t="s">
        <v>51</v>
      </c>
      <c r="D118" s="59" t="s">
        <v>81</v>
      </c>
      <c r="E118" s="59" t="s">
        <v>218</v>
      </c>
      <c r="F118" s="59" t="s">
        <v>121</v>
      </c>
      <c r="G118" s="59" t="s">
        <v>115</v>
      </c>
      <c r="H118" s="127">
        <f aca="true" t="shared" si="5" ref="H118:H127">K118</f>
        <v>0</v>
      </c>
      <c r="I118" s="101" t="s">
        <v>76</v>
      </c>
      <c r="J118" s="102"/>
      <c r="K118" s="104"/>
      <c r="L118" s="102"/>
      <c r="M118" s="100"/>
      <c r="N118" s="101" t="s">
        <v>76</v>
      </c>
      <c r="O118" s="6"/>
    </row>
    <row r="119" spans="1:15" s="25" customFormat="1" ht="12.75">
      <c r="A119" s="684" t="s">
        <v>12</v>
      </c>
      <c r="B119" s="9"/>
      <c r="C119" s="678" t="s">
        <v>51</v>
      </c>
      <c r="D119" s="9" t="s">
        <v>81</v>
      </c>
      <c r="E119" s="678" t="s">
        <v>218</v>
      </c>
      <c r="F119" s="678" t="s">
        <v>116</v>
      </c>
      <c r="G119" s="678" t="s">
        <v>115</v>
      </c>
      <c r="H119" s="126">
        <f t="shared" si="5"/>
        <v>201123.7</v>
      </c>
      <c r="I119" s="107" t="s">
        <v>76</v>
      </c>
      <c r="J119" s="107"/>
      <c r="K119" s="116">
        <f>195152.7+2985.5+2985.5</f>
        <v>201123.7</v>
      </c>
      <c r="L119" s="107"/>
      <c r="M119" s="107"/>
      <c r="N119" s="107" t="s">
        <v>76</v>
      </c>
      <c r="O119" s="6"/>
    </row>
    <row r="120" spans="1:15" s="25" customFormat="1" ht="12.75">
      <c r="A120" s="685"/>
      <c r="B120" s="9"/>
      <c r="C120" s="679"/>
      <c r="D120" s="9" t="s">
        <v>219</v>
      </c>
      <c r="E120" s="679"/>
      <c r="F120" s="679"/>
      <c r="G120" s="679"/>
      <c r="H120" s="126">
        <f t="shared" si="5"/>
        <v>188911.8</v>
      </c>
      <c r="I120" s="107" t="s">
        <v>76</v>
      </c>
      <c r="J120" s="107"/>
      <c r="K120" s="116">
        <f>148024.8+20443.5+20443.5</f>
        <v>188911.8</v>
      </c>
      <c r="L120" s="107"/>
      <c r="M120" s="107"/>
      <c r="N120" s="107" t="s">
        <v>76</v>
      </c>
      <c r="O120" s="6"/>
    </row>
    <row r="121" spans="1:15" s="25" customFormat="1" ht="12.75">
      <c r="A121" s="686"/>
      <c r="B121" s="9"/>
      <c r="C121" s="680"/>
      <c r="D121" s="9" t="s">
        <v>196</v>
      </c>
      <c r="E121" s="680"/>
      <c r="F121" s="680"/>
      <c r="G121" s="680"/>
      <c r="H121" s="126">
        <f t="shared" si="5"/>
        <v>12136.6</v>
      </c>
      <c r="I121" s="107"/>
      <c r="J121" s="107"/>
      <c r="K121" s="116">
        <f>7593.6+2271.5+2271.5</f>
        <v>12136.6</v>
      </c>
      <c r="L121" s="107"/>
      <c r="M121" s="107"/>
      <c r="N121" s="107" t="s">
        <v>76</v>
      </c>
      <c r="O121" s="6"/>
    </row>
    <row r="122" spans="1:15" s="25" customFormat="1" ht="12.75">
      <c r="A122" s="431" t="s">
        <v>362</v>
      </c>
      <c r="B122" s="9"/>
      <c r="C122" s="9" t="s">
        <v>51</v>
      </c>
      <c r="D122" s="9" t="s">
        <v>196</v>
      </c>
      <c r="E122" s="9" t="s">
        <v>218</v>
      </c>
      <c r="F122" s="9" t="s">
        <v>361</v>
      </c>
      <c r="G122" s="9" t="s">
        <v>115</v>
      </c>
      <c r="H122" s="126">
        <f t="shared" si="5"/>
        <v>2272.2</v>
      </c>
      <c r="I122" s="107"/>
      <c r="J122" s="107"/>
      <c r="K122" s="116">
        <v>2272.2</v>
      </c>
      <c r="L122" s="107"/>
      <c r="M122" s="107"/>
      <c r="N122" s="107" t="s">
        <v>76</v>
      </c>
      <c r="O122" s="6"/>
    </row>
    <row r="123" spans="1:15" s="25" customFormat="1" ht="39.75" customHeight="1">
      <c r="A123" s="431" t="s">
        <v>363</v>
      </c>
      <c r="B123" s="9"/>
      <c r="C123" s="9" t="s">
        <v>51</v>
      </c>
      <c r="D123" s="9" t="s">
        <v>196</v>
      </c>
      <c r="E123" s="9" t="s">
        <v>218</v>
      </c>
      <c r="F123" s="9" t="s">
        <v>240</v>
      </c>
      <c r="G123" s="9" t="s">
        <v>115</v>
      </c>
      <c r="H123" s="126">
        <f t="shared" si="5"/>
        <v>2625</v>
      </c>
      <c r="I123" s="107"/>
      <c r="J123" s="107"/>
      <c r="K123" s="116">
        <v>2625</v>
      </c>
      <c r="L123" s="107"/>
      <c r="M123" s="107"/>
      <c r="N123" s="107" t="s">
        <v>76</v>
      </c>
      <c r="O123" s="6"/>
    </row>
    <row r="124" spans="1:15" s="25" customFormat="1" ht="28.5" customHeight="1">
      <c r="A124" s="431" t="s">
        <v>364</v>
      </c>
      <c r="B124" s="9"/>
      <c r="C124" s="9" t="s">
        <v>51</v>
      </c>
      <c r="D124" s="9" t="s">
        <v>196</v>
      </c>
      <c r="E124" s="9" t="s">
        <v>218</v>
      </c>
      <c r="F124" s="9" t="s">
        <v>242</v>
      </c>
      <c r="G124" s="9" t="s">
        <v>115</v>
      </c>
      <c r="H124" s="126">
        <f t="shared" si="5"/>
        <v>3956.4</v>
      </c>
      <c r="I124" s="107"/>
      <c r="J124" s="107"/>
      <c r="K124" s="116">
        <v>3956.4</v>
      </c>
      <c r="L124" s="107"/>
      <c r="M124" s="107"/>
      <c r="N124" s="107" t="s">
        <v>76</v>
      </c>
      <c r="O124" s="6"/>
    </row>
    <row r="125" spans="1:15" s="25" customFormat="1" ht="12.75" hidden="1">
      <c r="A125" s="22" t="s">
        <v>359</v>
      </c>
      <c r="B125" s="9"/>
      <c r="C125" s="9" t="s">
        <v>51</v>
      </c>
      <c r="D125" s="9" t="s">
        <v>81</v>
      </c>
      <c r="E125" s="9" t="s">
        <v>218</v>
      </c>
      <c r="F125" s="9" t="s">
        <v>118</v>
      </c>
      <c r="G125" s="9" t="s">
        <v>115</v>
      </c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2.75" hidden="1">
      <c r="A126" s="684" t="s">
        <v>221</v>
      </c>
      <c r="B126" s="9"/>
      <c r="C126" s="678" t="s">
        <v>51</v>
      </c>
      <c r="D126" s="9" t="s">
        <v>81</v>
      </c>
      <c r="E126" s="678" t="s">
        <v>218</v>
      </c>
      <c r="F126" s="678" t="s">
        <v>119</v>
      </c>
      <c r="G126" s="678" t="s">
        <v>115</v>
      </c>
      <c r="H126" s="126">
        <f t="shared" si="5"/>
        <v>0</v>
      </c>
      <c r="I126" s="107" t="s">
        <v>76</v>
      </c>
      <c r="J126" s="107"/>
      <c r="K126" s="116"/>
      <c r="L126" s="101"/>
      <c r="M126" s="101"/>
      <c r="N126" s="101" t="s">
        <v>76</v>
      </c>
      <c r="O126" s="6"/>
    </row>
    <row r="127" spans="1:15" s="25" customFormat="1" ht="12.75" hidden="1">
      <c r="A127" s="686"/>
      <c r="B127" s="9"/>
      <c r="C127" s="680"/>
      <c r="D127" s="9" t="s">
        <v>196</v>
      </c>
      <c r="E127" s="680"/>
      <c r="F127" s="680"/>
      <c r="G127" s="680"/>
      <c r="H127" s="126">
        <f t="shared" si="5"/>
        <v>0</v>
      </c>
      <c r="I127" s="107" t="s">
        <v>76</v>
      </c>
      <c r="J127" s="107"/>
      <c r="K127" s="116"/>
      <c r="L127" s="101"/>
      <c r="M127" s="101"/>
      <c r="N127" s="101" t="s">
        <v>76</v>
      </c>
      <c r="O127" s="6"/>
    </row>
    <row r="128" spans="1:15" s="25" customFormat="1" ht="15" customHeight="1">
      <c r="A128" s="681" t="s">
        <v>210</v>
      </c>
      <c r="B128" s="683"/>
      <c r="C128" s="27" t="s">
        <v>163</v>
      </c>
      <c r="D128" s="44"/>
      <c r="E128" s="3"/>
      <c r="F128" s="3"/>
      <c r="G128" s="3"/>
      <c r="H128" s="131"/>
      <c r="I128" s="117"/>
      <c r="J128" s="110"/>
      <c r="K128" s="120">
        <f>K129+K130</f>
        <v>950000</v>
      </c>
      <c r="L128" s="117"/>
      <c r="M128" s="117"/>
      <c r="N128" s="117"/>
      <c r="O128" s="6"/>
    </row>
    <row r="129" spans="1:15" s="25" customFormat="1" ht="15.75" customHeight="1">
      <c r="A129" s="22" t="s">
        <v>11</v>
      </c>
      <c r="B129" s="40"/>
      <c r="C129" s="41" t="s">
        <v>163</v>
      </c>
      <c r="D129" s="6" t="s">
        <v>162</v>
      </c>
      <c r="E129" s="9" t="s">
        <v>157</v>
      </c>
      <c r="F129" s="46">
        <v>225</v>
      </c>
      <c r="G129" s="9" t="s">
        <v>115</v>
      </c>
      <c r="H129" s="129" t="s">
        <v>76</v>
      </c>
      <c r="I129" s="107" t="s">
        <v>76</v>
      </c>
      <c r="J129" s="78"/>
      <c r="K129" s="116">
        <v>950000</v>
      </c>
      <c r="L129" s="107"/>
      <c r="M129" s="107"/>
      <c r="N129" s="107" t="s">
        <v>76</v>
      </c>
      <c r="O129" s="6"/>
    </row>
    <row r="130" spans="1:15" s="25" customFormat="1" ht="13.5" hidden="1">
      <c r="A130" s="47" t="s">
        <v>14</v>
      </c>
      <c r="B130" s="40"/>
      <c r="C130" s="41" t="s">
        <v>163</v>
      </c>
      <c r="D130" s="6" t="s">
        <v>162</v>
      </c>
      <c r="E130" s="9" t="s">
        <v>157</v>
      </c>
      <c r="F130" s="9" t="s">
        <v>118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15" customHeight="1" hidden="1">
      <c r="A131" s="681" t="s">
        <v>177</v>
      </c>
      <c r="B131" s="683"/>
      <c r="C131" s="27" t="s">
        <v>23</v>
      </c>
      <c r="D131" s="44"/>
      <c r="E131" s="3"/>
      <c r="F131" s="3"/>
      <c r="G131" s="3"/>
      <c r="H131" s="131"/>
      <c r="I131" s="117"/>
      <c r="J131" s="110"/>
      <c r="K131" s="118">
        <f>K132</f>
        <v>0</v>
      </c>
      <c r="L131" s="117"/>
      <c r="M131" s="117"/>
      <c r="N131" s="117"/>
      <c r="O131" s="6"/>
    </row>
    <row r="132" spans="1:15" s="25" customFormat="1" ht="15" customHeight="1" hidden="1">
      <c r="A132" s="22" t="s">
        <v>178</v>
      </c>
      <c r="B132" s="9"/>
      <c r="C132" s="9" t="s">
        <v>23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/>
      <c r="I132" s="107"/>
      <c r="J132" s="78"/>
      <c r="K132" s="116"/>
      <c r="L132" s="107"/>
      <c r="M132" s="107"/>
      <c r="N132" s="107"/>
      <c r="O132" s="6"/>
    </row>
    <row r="133" spans="1:15" s="25" customFormat="1" ht="29.25" customHeight="1" hidden="1">
      <c r="A133" s="681" t="s">
        <v>191</v>
      </c>
      <c r="B133" s="683"/>
      <c r="C133" s="27" t="s">
        <v>192</v>
      </c>
      <c r="D133" s="3"/>
      <c r="E133" s="3"/>
      <c r="F133" s="3"/>
      <c r="G133" s="3"/>
      <c r="H133" s="124">
        <f aca="true" t="shared" si="6" ref="H133:H141">K133</f>
        <v>0</v>
      </c>
      <c r="I133" s="119"/>
      <c r="J133" s="97"/>
      <c r="K133" s="97">
        <f>K134+K135</f>
        <v>0</v>
      </c>
      <c r="L133" s="117"/>
      <c r="M133" s="117"/>
      <c r="N133" s="117"/>
      <c r="O133" s="6"/>
    </row>
    <row r="134" spans="1:15" s="25" customFormat="1" ht="16.5" customHeight="1" hidden="1">
      <c r="A134" s="61" t="s">
        <v>195</v>
      </c>
      <c r="B134" s="67"/>
      <c r="C134" s="59" t="s">
        <v>192</v>
      </c>
      <c r="D134" s="59" t="s">
        <v>193</v>
      </c>
      <c r="E134" s="59" t="s">
        <v>108</v>
      </c>
      <c r="F134" s="59" t="s">
        <v>121</v>
      </c>
      <c r="G134" s="59" t="s">
        <v>194</v>
      </c>
      <c r="H134" s="127">
        <f t="shared" si="6"/>
        <v>0</v>
      </c>
      <c r="I134" s="101" t="s">
        <v>76</v>
      </c>
      <c r="J134" s="100"/>
      <c r="K134" s="104"/>
      <c r="L134" s="101"/>
      <c r="M134" s="101"/>
      <c r="N134" s="101" t="s">
        <v>76</v>
      </c>
      <c r="O134" s="6"/>
    </row>
    <row r="135" spans="1:15" s="25" customFormat="1" ht="16.5" customHeight="1" hidden="1">
      <c r="A135" s="61" t="s">
        <v>195</v>
      </c>
      <c r="B135" s="68"/>
      <c r="C135" s="59" t="s">
        <v>192</v>
      </c>
      <c r="D135" s="59" t="s">
        <v>196</v>
      </c>
      <c r="E135" s="59" t="s">
        <v>108</v>
      </c>
      <c r="F135" s="59" t="s">
        <v>121</v>
      </c>
      <c r="G135" s="59" t="s">
        <v>194</v>
      </c>
      <c r="H135" s="127">
        <f t="shared" si="6"/>
        <v>0</v>
      </c>
      <c r="I135" s="101" t="s">
        <v>76</v>
      </c>
      <c r="J135" s="100"/>
      <c r="K135" s="104"/>
      <c r="L135" s="101"/>
      <c r="M135" s="101"/>
      <c r="N135" s="101" t="s">
        <v>76</v>
      </c>
      <c r="O135" s="6"/>
    </row>
    <row r="136" spans="1:15" s="25" customFormat="1" ht="16.5" customHeight="1">
      <c r="A136" s="39" t="s">
        <v>222</v>
      </c>
      <c r="B136" s="38"/>
      <c r="C136" s="27" t="s">
        <v>203</v>
      </c>
      <c r="D136" s="3"/>
      <c r="E136" s="3"/>
      <c r="F136" s="3"/>
      <c r="G136" s="3"/>
      <c r="H136" s="124">
        <f t="shared" si="6"/>
        <v>10000</v>
      </c>
      <c r="I136" s="117" t="s">
        <v>76</v>
      </c>
      <c r="J136" s="110"/>
      <c r="K136" s="120">
        <f>K137</f>
        <v>10000</v>
      </c>
      <c r="L136" s="117"/>
      <c r="M136" s="117"/>
      <c r="N136" s="117" t="s">
        <v>76</v>
      </c>
      <c r="O136" s="6"/>
    </row>
    <row r="137" spans="1:15" s="25" customFormat="1" ht="24" customHeight="1">
      <c r="A137" s="22" t="s">
        <v>236</v>
      </c>
      <c r="B137" s="40"/>
      <c r="C137" s="9" t="s">
        <v>203</v>
      </c>
      <c r="D137" s="9" t="s">
        <v>81</v>
      </c>
      <c r="E137" s="9" t="s">
        <v>108</v>
      </c>
      <c r="F137" s="9" t="s">
        <v>205</v>
      </c>
      <c r="G137" s="9" t="s">
        <v>123</v>
      </c>
      <c r="H137" s="126">
        <f t="shared" si="6"/>
        <v>10000</v>
      </c>
      <c r="I137" s="107" t="s">
        <v>76</v>
      </c>
      <c r="J137" s="78"/>
      <c r="K137" s="121">
        <v>10000</v>
      </c>
      <c r="L137" s="107"/>
      <c r="M137" s="107"/>
      <c r="N137" s="107" t="s">
        <v>76</v>
      </c>
      <c r="O137" s="6"/>
    </row>
    <row r="138" spans="1:15" s="25" customFormat="1" ht="12.75">
      <c r="A138" s="75" t="s">
        <v>226</v>
      </c>
      <c r="B138" s="58"/>
      <c r="C138" s="42" t="s">
        <v>23</v>
      </c>
      <c r="D138" s="42"/>
      <c r="E138" s="42"/>
      <c r="F138" s="42"/>
      <c r="G138" s="42"/>
      <c r="H138" s="125">
        <f t="shared" si="6"/>
        <v>90100</v>
      </c>
      <c r="I138" s="119"/>
      <c r="J138" s="98"/>
      <c r="K138" s="97">
        <f>K139</f>
        <v>90100</v>
      </c>
      <c r="L138" s="119"/>
      <c r="M138" s="119"/>
      <c r="N138" s="119"/>
      <c r="O138" s="6"/>
    </row>
    <row r="139" spans="1:15" s="25" customFormat="1" ht="12.75">
      <c r="A139" s="517" t="s">
        <v>227</v>
      </c>
      <c r="B139" s="518"/>
      <c r="C139" s="496" t="s">
        <v>23</v>
      </c>
      <c r="D139" s="496" t="s">
        <v>228</v>
      </c>
      <c r="E139" s="496" t="s">
        <v>157</v>
      </c>
      <c r="F139" s="496" t="s">
        <v>116</v>
      </c>
      <c r="G139" s="496" t="s">
        <v>115</v>
      </c>
      <c r="H139" s="519">
        <f t="shared" si="6"/>
        <v>90100</v>
      </c>
      <c r="I139" s="502"/>
      <c r="J139" s="520"/>
      <c r="K139" s="501">
        <v>90100</v>
      </c>
      <c r="L139" s="502"/>
      <c r="M139" s="502"/>
      <c r="N139" s="502"/>
      <c r="O139" s="6"/>
    </row>
    <row r="140" spans="1:15" s="25" customFormat="1" ht="12.75" hidden="1">
      <c r="A140" s="77" t="s">
        <v>231</v>
      </c>
      <c r="B140" s="58"/>
      <c r="C140" s="87" t="s">
        <v>230</v>
      </c>
      <c r="D140" s="53"/>
      <c r="E140" s="53"/>
      <c r="F140" s="53"/>
      <c r="G140" s="53"/>
      <c r="H140" s="124">
        <f t="shared" si="6"/>
        <v>0</v>
      </c>
      <c r="I140" s="119"/>
      <c r="J140" s="97"/>
      <c r="K140" s="98">
        <f>K141</f>
        <v>0</v>
      </c>
      <c r="L140" s="119"/>
      <c r="M140" s="119"/>
      <c r="N140" s="119"/>
      <c r="O140" s="6"/>
    </row>
    <row r="141" spans="1:15" s="25" customFormat="1" ht="12.75" hidden="1">
      <c r="A141" s="22" t="s">
        <v>227</v>
      </c>
      <c r="B141" s="57"/>
      <c r="C141" s="9" t="s">
        <v>230</v>
      </c>
      <c r="D141" s="9" t="s">
        <v>81</v>
      </c>
      <c r="E141" s="9" t="s">
        <v>232</v>
      </c>
      <c r="F141" s="9" t="s">
        <v>116</v>
      </c>
      <c r="G141" s="9" t="s">
        <v>115</v>
      </c>
      <c r="H141" s="126">
        <f t="shared" si="6"/>
        <v>0</v>
      </c>
      <c r="I141" s="107"/>
      <c r="J141" s="78"/>
      <c r="K141" s="26"/>
      <c r="L141" s="107"/>
      <c r="M141" s="107"/>
      <c r="N141" s="107"/>
      <c r="O141" s="6"/>
    </row>
    <row r="142" spans="1:15" s="25" customFormat="1" ht="29.25" customHeight="1">
      <c r="A142" s="681" t="s">
        <v>224</v>
      </c>
      <c r="B142" s="682"/>
      <c r="C142" s="27" t="s">
        <v>80</v>
      </c>
      <c r="D142" s="3"/>
      <c r="E142" s="3"/>
      <c r="F142" s="3"/>
      <c r="G142" s="3"/>
      <c r="H142" s="124">
        <f aca="true" t="shared" si="7" ref="H142:H153">N142</f>
        <v>102004.12000000001</v>
      </c>
      <c r="I142" s="119"/>
      <c r="J142" s="119"/>
      <c r="K142" s="119"/>
      <c r="L142" s="119"/>
      <c r="M142" s="119"/>
      <c r="N142" s="97">
        <f>SUM(N143:N153)</f>
        <v>102004.12000000001</v>
      </c>
      <c r="O142" s="6"/>
    </row>
    <row r="143" spans="1:15" s="25" customFormat="1" ht="13.5" customHeight="1" hidden="1">
      <c r="A143" s="45" t="s">
        <v>8</v>
      </c>
      <c r="B143" s="8"/>
      <c r="C143" s="9" t="s">
        <v>80</v>
      </c>
      <c r="D143" s="9" t="s">
        <v>81</v>
      </c>
      <c r="E143" s="9" t="s">
        <v>108</v>
      </c>
      <c r="F143" s="9" t="s">
        <v>128</v>
      </c>
      <c r="G143" s="9" t="s">
        <v>115</v>
      </c>
      <c r="H143" s="126">
        <f t="shared" si="7"/>
        <v>0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/>
      <c r="N143" s="122"/>
      <c r="O143" s="6"/>
    </row>
    <row r="144" spans="1:15" s="25" customFormat="1" ht="13.5" customHeight="1" hidden="1">
      <c r="A144" s="22" t="s">
        <v>11</v>
      </c>
      <c r="B144" s="9"/>
      <c r="C144" s="9" t="s">
        <v>80</v>
      </c>
      <c r="D144" s="9" t="s">
        <v>81</v>
      </c>
      <c r="E144" s="9" t="s">
        <v>108</v>
      </c>
      <c r="F144" s="9" t="s">
        <v>121</v>
      </c>
      <c r="G144" s="9" t="s">
        <v>115</v>
      </c>
      <c r="H144" s="126">
        <f t="shared" si="7"/>
        <v>0</v>
      </c>
      <c r="I144" s="107" t="s">
        <v>76</v>
      </c>
      <c r="J144" s="107" t="s">
        <v>76</v>
      </c>
      <c r="K144" s="107" t="s">
        <v>76</v>
      </c>
      <c r="L144" s="107" t="s">
        <v>76</v>
      </c>
      <c r="M144" s="107"/>
      <c r="N144" s="122"/>
      <c r="O144" s="6"/>
    </row>
    <row r="145" spans="1:15" s="25" customFormat="1" ht="13.5" customHeight="1">
      <c r="A145" s="22" t="s">
        <v>11</v>
      </c>
      <c r="B145" s="9"/>
      <c r="C145" s="9" t="s">
        <v>80</v>
      </c>
      <c r="D145" s="9" t="s">
        <v>81</v>
      </c>
      <c r="E145" s="9" t="s">
        <v>218</v>
      </c>
      <c r="F145" s="9" t="s">
        <v>121</v>
      </c>
      <c r="G145" s="9" t="s">
        <v>115</v>
      </c>
      <c r="H145" s="126">
        <f t="shared" si="7"/>
        <v>2815.2</v>
      </c>
      <c r="I145" s="107" t="s">
        <v>76</v>
      </c>
      <c r="J145" s="107" t="s">
        <v>76</v>
      </c>
      <c r="K145" s="107" t="s">
        <v>76</v>
      </c>
      <c r="L145" s="107" t="s">
        <v>76</v>
      </c>
      <c r="M145" s="107" t="s">
        <v>76</v>
      </c>
      <c r="N145" s="78">
        <v>2815.2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218</v>
      </c>
      <c r="F146" s="9" t="s">
        <v>116</v>
      </c>
      <c r="G146" s="9" t="s">
        <v>115</v>
      </c>
      <c r="H146" s="126">
        <f t="shared" si="7"/>
        <v>13427.57</v>
      </c>
      <c r="I146" s="107" t="s">
        <v>76</v>
      </c>
      <c r="J146" s="107"/>
      <c r="K146" s="107" t="s">
        <v>76</v>
      </c>
      <c r="L146" s="107" t="s">
        <v>76</v>
      </c>
      <c r="M146" s="107"/>
      <c r="N146" s="433">
        <v>13427.57</v>
      </c>
      <c r="O146" s="6"/>
    </row>
    <row r="147" spans="1:15" s="25" customFormat="1" ht="13.5" customHeight="1">
      <c r="A147" s="22" t="s">
        <v>362</v>
      </c>
      <c r="B147" s="9"/>
      <c r="C147" s="9" t="s">
        <v>80</v>
      </c>
      <c r="D147" s="9" t="s">
        <v>81</v>
      </c>
      <c r="E147" s="9" t="s">
        <v>218</v>
      </c>
      <c r="F147" s="9" t="s">
        <v>361</v>
      </c>
      <c r="G147" s="9" t="s">
        <v>115</v>
      </c>
      <c r="H147" s="126">
        <f t="shared" si="7"/>
        <v>3408.3</v>
      </c>
      <c r="I147" s="107"/>
      <c r="J147" s="107"/>
      <c r="K147" s="107"/>
      <c r="L147" s="107"/>
      <c r="M147" s="107"/>
      <c r="N147" s="433">
        <v>3408.3</v>
      </c>
      <c r="O147" s="6"/>
    </row>
    <row r="148" spans="1:15" s="25" customFormat="1" ht="13.5" customHeight="1">
      <c r="A148" s="22" t="s">
        <v>12</v>
      </c>
      <c r="B148" s="9"/>
      <c r="C148" s="9" t="s">
        <v>80</v>
      </c>
      <c r="D148" s="9" t="s">
        <v>81</v>
      </c>
      <c r="E148" s="9" t="s">
        <v>108</v>
      </c>
      <c r="F148" s="9" t="s">
        <v>116</v>
      </c>
      <c r="G148" s="9" t="s">
        <v>115</v>
      </c>
      <c r="H148" s="126">
        <f t="shared" si="7"/>
        <v>30000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 t="s">
        <v>76</v>
      </c>
      <c r="N148" s="78">
        <v>30000</v>
      </c>
      <c r="O148" s="6"/>
    </row>
    <row r="149" spans="1:15" s="25" customFormat="1" ht="13.5" customHeight="1">
      <c r="A149" s="22" t="s">
        <v>14</v>
      </c>
      <c r="B149" s="9"/>
      <c r="C149" s="9" t="s">
        <v>80</v>
      </c>
      <c r="D149" s="9" t="s">
        <v>81</v>
      </c>
      <c r="E149" s="9" t="s">
        <v>108</v>
      </c>
      <c r="F149" s="9" t="s">
        <v>118</v>
      </c>
      <c r="G149" s="9" t="s">
        <v>115</v>
      </c>
      <c r="H149" s="126">
        <f t="shared" si="7"/>
        <v>35000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>
        <v>35000</v>
      </c>
      <c r="O149" s="6"/>
    </row>
    <row r="150" spans="1:15" s="25" customFormat="1" ht="13.5" customHeight="1">
      <c r="A150" s="22" t="s">
        <v>463</v>
      </c>
      <c r="B150" s="9"/>
      <c r="C150" s="9" t="s">
        <v>80</v>
      </c>
      <c r="D150" s="9" t="s">
        <v>81</v>
      </c>
      <c r="E150" s="9" t="s">
        <v>108</v>
      </c>
      <c r="F150" s="9" t="s">
        <v>118</v>
      </c>
      <c r="G150" s="9" t="s">
        <v>115</v>
      </c>
      <c r="H150" s="126">
        <f t="shared" si="7"/>
        <v>2504.12</v>
      </c>
      <c r="I150" s="107" t="s">
        <v>76</v>
      </c>
      <c r="J150" s="107" t="s">
        <v>76</v>
      </c>
      <c r="K150" s="107" t="s">
        <v>76</v>
      </c>
      <c r="L150" s="107"/>
      <c r="M150" s="107"/>
      <c r="N150" s="122">
        <v>2504.12</v>
      </c>
      <c r="O150" s="6"/>
    </row>
    <row r="151" spans="1:15" s="25" customFormat="1" ht="39" customHeight="1">
      <c r="A151" s="22" t="s">
        <v>363</v>
      </c>
      <c r="B151" s="9"/>
      <c r="C151" s="9" t="s">
        <v>80</v>
      </c>
      <c r="D151" s="9" t="s">
        <v>81</v>
      </c>
      <c r="E151" s="9" t="s">
        <v>218</v>
      </c>
      <c r="F151" s="9" t="s">
        <v>240</v>
      </c>
      <c r="G151" s="9" t="s">
        <v>115</v>
      </c>
      <c r="H151" s="126">
        <f t="shared" si="7"/>
        <v>3937.5</v>
      </c>
      <c r="I151" s="107" t="s">
        <v>76</v>
      </c>
      <c r="J151" s="107"/>
      <c r="K151" s="107" t="s">
        <v>76</v>
      </c>
      <c r="L151" s="107" t="s">
        <v>76</v>
      </c>
      <c r="M151" s="107"/>
      <c r="N151" s="99">
        <v>3937.5</v>
      </c>
      <c r="O151" s="6"/>
    </row>
    <row r="152" spans="1:15" s="25" customFormat="1" ht="30.75" customHeight="1">
      <c r="A152" s="431" t="s">
        <v>364</v>
      </c>
      <c r="B152" s="20"/>
      <c r="C152" s="9" t="s">
        <v>80</v>
      </c>
      <c r="D152" s="9" t="s">
        <v>81</v>
      </c>
      <c r="E152" s="9" t="s">
        <v>218</v>
      </c>
      <c r="F152" s="9" t="s">
        <v>242</v>
      </c>
      <c r="G152" s="9" t="s">
        <v>115</v>
      </c>
      <c r="H152" s="126">
        <f t="shared" si="7"/>
        <v>7087.63</v>
      </c>
      <c r="I152" s="107" t="s">
        <v>76</v>
      </c>
      <c r="J152" s="108"/>
      <c r="K152" s="107" t="s">
        <v>76</v>
      </c>
      <c r="L152" s="108"/>
      <c r="M152" s="108"/>
      <c r="N152" s="78">
        <v>7087.63</v>
      </c>
      <c r="O152" s="6"/>
    </row>
    <row r="153" spans="1:15" s="25" customFormat="1" ht="30.75" customHeight="1">
      <c r="A153" s="431" t="s">
        <v>243</v>
      </c>
      <c r="B153" s="20"/>
      <c r="C153" s="9" t="s">
        <v>80</v>
      </c>
      <c r="D153" s="9" t="s">
        <v>81</v>
      </c>
      <c r="E153" s="9" t="s">
        <v>218</v>
      </c>
      <c r="F153" s="9" t="s">
        <v>244</v>
      </c>
      <c r="G153" s="9" t="s">
        <v>115</v>
      </c>
      <c r="H153" s="126">
        <f t="shared" si="7"/>
        <v>3823.8</v>
      </c>
      <c r="I153" s="107"/>
      <c r="J153" s="108"/>
      <c r="K153" s="107"/>
      <c r="L153" s="108"/>
      <c r="M153" s="108"/>
      <c r="N153" s="78">
        <v>3823.8</v>
      </c>
      <c r="O153" s="6"/>
    </row>
    <row r="154" spans="1:15" s="25" customFormat="1" ht="27">
      <c r="A154" s="96" t="s">
        <v>129</v>
      </c>
      <c r="B154" s="32" t="s">
        <v>130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16694370</v>
      </c>
      <c r="I154" s="130">
        <f>I56+I59+I87+I88+I57+I72+I58</f>
        <v>16684370</v>
      </c>
      <c r="J154" s="130"/>
      <c r="K154" s="130">
        <f>K137</f>
        <v>10000</v>
      </c>
      <c r="L154" s="134" t="s">
        <v>76</v>
      </c>
      <c r="M154" s="134" t="s">
        <v>76</v>
      </c>
      <c r="N154" s="130"/>
      <c r="O154" s="6" t="s">
        <v>76</v>
      </c>
    </row>
    <row r="155" spans="1:15" s="25" customFormat="1" ht="27">
      <c r="A155" s="96" t="s">
        <v>131</v>
      </c>
      <c r="B155" s="32" t="s">
        <v>132</v>
      </c>
      <c r="C155" s="33" t="s">
        <v>76</v>
      </c>
      <c r="D155" s="33" t="s">
        <v>76</v>
      </c>
      <c r="E155" s="33" t="s">
        <v>76</v>
      </c>
      <c r="F155" s="33" t="s">
        <v>76</v>
      </c>
      <c r="G155" s="33" t="s">
        <v>76</v>
      </c>
      <c r="H155" s="130">
        <f>H157+H156</f>
        <v>7394538.82</v>
      </c>
      <c r="I155" s="130">
        <f>I157+I156</f>
        <v>5024069</v>
      </c>
      <c r="J155" s="130">
        <f>J157+J156</f>
        <v>0</v>
      </c>
      <c r="K155" s="130">
        <f>K157+K156</f>
        <v>2268465.7</v>
      </c>
      <c r="L155" s="134"/>
      <c r="M155" s="134"/>
      <c r="N155" s="130">
        <f>N157+N156</f>
        <v>102004.12</v>
      </c>
      <c r="O155" s="6"/>
    </row>
    <row r="156" spans="1:15" s="25" customFormat="1" ht="24" customHeight="1">
      <c r="A156" s="96" t="s">
        <v>133</v>
      </c>
      <c r="B156" s="32" t="s">
        <v>134</v>
      </c>
      <c r="C156" s="33" t="s">
        <v>76</v>
      </c>
      <c r="D156" s="33" t="s">
        <v>76</v>
      </c>
      <c r="E156" s="33" t="s">
        <v>76</v>
      </c>
      <c r="F156" s="33" t="s">
        <v>76</v>
      </c>
      <c r="G156" s="33" t="s">
        <v>76</v>
      </c>
      <c r="H156" s="130">
        <f>I156+N156+K156</f>
        <v>0</v>
      </c>
      <c r="I156" s="130"/>
      <c r="J156" s="130"/>
      <c r="K156" s="130">
        <v>0</v>
      </c>
      <c r="L156" s="134"/>
      <c r="M156" s="134"/>
      <c r="N156" s="130">
        <v>0</v>
      </c>
      <c r="O156" s="6"/>
    </row>
    <row r="157" spans="1:15" s="25" customFormat="1" ht="12.75" customHeight="1">
      <c r="A157" s="96" t="s">
        <v>135</v>
      </c>
      <c r="B157" s="32" t="s">
        <v>136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I157+N157+K157</f>
        <v>7394538.82</v>
      </c>
      <c r="I157" s="130">
        <f>I61+I66+I67+I68+I69+I73+I78+I79+I81+I83+I84+I85+I86+I97+I92+I93+I74+I75+I76+I77+I94+I82+I71</f>
        <v>5024069</v>
      </c>
      <c r="J157" s="130"/>
      <c r="K157" s="130">
        <f>K101+K105+K134+K135+K119+K120+K121+K127+K129+K113+K114+K115+K116+K112+K139+K141+K126+K122+K123+K124+K107+K108++K109+K110</f>
        <v>2268465.7</v>
      </c>
      <c r="L157" s="134" t="s">
        <v>76</v>
      </c>
      <c r="M157" s="134" t="s">
        <v>76</v>
      </c>
      <c r="N157" s="130">
        <f>N143+N144+N146+N149+N151+N145+N148+N152+N147+N153+N150</f>
        <v>102004.12</v>
      </c>
      <c r="O157" s="6" t="s">
        <v>76</v>
      </c>
    </row>
    <row r="158" spans="1:15" s="25" customFormat="1" ht="13.5" hidden="1">
      <c r="A158" s="8" t="s">
        <v>137</v>
      </c>
      <c r="B158" s="9" t="s">
        <v>138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f>I158+N158</f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139</v>
      </c>
      <c r="B159" s="9" t="s">
        <v>118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140</v>
      </c>
      <c r="B160" s="9" t="s">
        <v>141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142</v>
      </c>
      <c r="B161" s="9" t="s">
        <v>143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144</v>
      </c>
      <c r="B162" s="9" t="s">
        <v>145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146</v>
      </c>
      <c r="B163" s="9" t="s">
        <v>147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>
      <c r="A164" s="48" t="s">
        <v>137</v>
      </c>
      <c r="B164" s="49" t="s">
        <v>138</v>
      </c>
      <c r="C164" s="50" t="s">
        <v>173</v>
      </c>
      <c r="D164" s="49" t="s">
        <v>81</v>
      </c>
      <c r="E164" s="50" t="s">
        <v>174</v>
      </c>
      <c r="F164" s="50" t="s">
        <v>174</v>
      </c>
      <c r="G164" s="50" t="s">
        <v>175</v>
      </c>
      <c r="H164" s="132">
        <v>28653.9</v>
      </c>
      <c r="I164" s="136"/>
      <c r="J164" s="136"/>
      <c r="K164" s="136"/>
      <c r="L164" s="137"/>
      <c r="M164" s="137"/>
      <c r="N164" s="136"/>
      <c r="O164" s="6"/>
    </row>
    <row r="165" spans="1:15" s="25" customFormat="1" ht="13.5">
      <c r="A165" s="51" t="s">
        <v>142</v>
      </c>
      <c r="B165" s="49" t="s">
        <v>143</v>
      </c>
      <c r="C165" s="50" t="s">
        <v>173</v>
      </c>
      <c r="D165" s="49" t="s">
        <v>81</v>
      </c>
      <c r="E165" s="50" t="s">
        <v>174</v>
      </c>
      <c r="F165" s="50" t="s">
        <v>174</v>
      </c>
      <c r="G165" s="50" t="s">
        <v>176</v>
      </c>
      <c r="H165" s="132">
        <v>28653.9</v>
      </c>
      <c r="I165" s="136"/>
      <c r="J165" s="136"/>
      <c r="K165" s="136"/>
      <c r="L165" s="137"/>
      <c r="M165" s="137"/>
      <c r="N165" s="136"/>
      <c r="O165" s="6"/>
    </row>
    <row r="166" spans="1:15" s="25" customFormat="1" ht="13.5">
      <c r="A166" s="35" t="s">
        <v>148</v>
      </c>
      <c r="B166" s="36" t="s">
        <v>149</v>
      </c>
      <c r="C166" s="37" t="s">
        <v>76</v>
      </c>
      <c r="D166" s="37" t="s">
        <v>76</v>
      </c>
      <c r="E166" s="37" t="s">
        <v>76</v>
      </c>
      <c r="F166" s="37" t="s">
        <v>76</v>
      </c>
      <c r="G166" s="37" t="s">
        <v>76</v>
      </c>
      <c r="H166" s="133">
        <f>I166+K166+N166</f>
        <v>0</v>
      </c>
      <c r="I166" s="133">
        <v>0</v>
      </c>
      <c r="J166" s="133"/>
      <c r="K166" s="133"/>
      <c r="L166" s="138" t="s">
        <v>76</v>
      </c>
      <c r="M166" s="138" t="s">
        <v>76</v>
      </c>
      <c r="N166" s="133"/>
      <c r="O166" s="6" t="s">
        <v>76</v>
      </c>
    </row>
    <row r="167" spans="1:15" s="25" customFormat="1" ht="13.5">
      <c r="A167" s="20" t="s">
        <v>150</v>
      </c>
      <c r="B167" s="9" t="s">
        <v>151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9" ht="12.75">
      <c r="A169" s="88" t="s">
        <v>271</v>
      </c>
    </row>
    <row r="170" ht="12.75">
      <c r="A170" s="88"/>
    </row>
    <row r="171" ht="19.5" customHeight="1">
      <c r="A171" s="88" t="s">
        <v>17</v>
      </c>
    </row>
    <row r="172" ht="12.75">
      <c r="A172" s="88" t="s">
        <v>272</v>
      </c>
    </row>
    <row r="173" ht="12.75">
      <c r="A173" s="88"/>
    </row>
    <row r="174" ht="13.5" customHeight="1">
      <c r="A174" s="89"/>
    </row>
    <row r="175" ht="13.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</sheetData>
  <sheetProtection/>
  <mergeCells count="86">
    <mergeCell ref="A1:O1"/>
    <mergeCell ref="B2:M2"/>
    <mergeCell ref="N2:O2"/>
    <mergeCell ref="A4:A6"/>
    <mergeCell ref="B4:B6"/>
    <mergeCell ref="C4:C6"/>
    <mergeCell ref="I5:O5"/>
    <mergeCell ref="N6:O6"/>
    <mergeCell ref="D4:D6"/>
    <mergeCell ref="E4:E6"/>
    <mergeCell ref="H4:O4"/>
    <mergeCell ref="H5:H6"/>
    <mergeCell ref="B16:B23"/>
    <mergeCell ref="A19:A23"/>
    <mergeCell ref="C19:C23"/>
    <mergeCell ref="F19:F23"/>
    <mergeCell ref="F4:F6"/>
    <mergeCell ref="G4:G6"/>
    <mergeCell ref="E11:E13"/>
    <mergeCell ref="F11:F13"/>
    <mergeCell ref="B10:B15"/>
    <mergeCell ref="C11:C13"/>
    <mergeCell ref="J16:J17"/>
    <mergeCell ref="A17:A18"/>
    <mergeCell ref="C17:C18"/>
    <mergeCell ref="E17:E18"/>
    <mergeCell ref="F17:F18"/>
    <mergeCell ref="G17:G18"/>
    <mergeCell ref="A30:A35"/>
    <mergeCell ref="F31:F35"/>
    <mergeCell ref="A36:A39"/>
    <mergeCell ref="C36:C39"/>
    <mergeCell ref="F45:F46"/>
    <mergeCell ref="A40:A42"/>
    <mergeCell ref="A45:A46"/>
    <mergeCell ref="C40:C42"/>
    <mergeCell ref="C45:C46"/>
    <mergeCell ref="F40:F42"/>
    <mergeCell ref="C57:C58"/>
    <mergeCell ref="C68:C69"/>
    <mergeCell ref="E68:E69"/>
    <mergeCell ref="C78:C79"/>
    <mergeCell ref="A61:A66"/>
    <mergeCell ref="G57:G58"/>
    <mergeCell ref="F61:F66"/>
    <mergeCell ref="E78:E79"/>
    <mergeCell ref="F78:F79"/>
    <mergeCell ref="F57:F58"/>
    <mergeCell ref="A55:B55"/>
    <mergeCell ref="C61:C66"/>
    <mergeCell ref="A98:B98"/>
    <mergeCell ref="A80:B80"/>
    <mergeCell ref="G68:G69"/>
    <mergeCell ref="G85:G86"/>
    <mergeCell ref="C83:C84"/>
    <mergeCell ref="E83:E84"/>
    <mergeCell ref="G78:G79"/>
    <mergeCell ref="A83:A84"/>
    <mergeCell ref="A128:B128"/>
    <mergeCell ref="G119:G121"/>
    <mergeCell ref="E119:E121"/>
    <mergeCell ref="F83:F84"/>
    <mergeCell ref="A78:A79"/>
    <mergeCell ref="A106:B106"/>
    <mergeCell ref="A102:B102"/>
    <mergeCell ref="C85:C86"/>
    <mergeCell ref="E85:E86"/>
    <mergeCell ref="A85:A86"/>
    <mergeCell ref="G83:G84"/>
    <mergeCell ref="F85:F86"/>
    <mergeCell ref="A68:A69"/>
    <mergeCell ref="A111:B111"/>
    <mergeCell ref="A117:B117"/>
    <mergeCell ref="C119:C121"/>
    <mergeCell ref="F68:F69"/>
    <mergeCell ref="E73:E74"/>
    <mergeCell ref="A133:B133"/>
    <mergeCell ref="A142:B142"/>
    <mergeCell ref="G126:G127"/>
    <mergeCell ref="A119:A121"/>
    <mergeCell ref="A131:B131"/>
    <mergeCell ref="F119:F121"/>
    <mergeCell ref="C126:C127"/>
    <mergeCell ref="E126:E127"/>
    <mergeCell ref="F126:F127"/>
    <mergeCell ref="A126:A12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view="pageBreakPreview" zoomScaleSheetLayoutView="100" zoomScalePageLayoutView="0" workbookViewId="0" topLeftCell="A116">
      <selection activeCell="I166" sqref="I166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491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H10+H16+H24</f>
        <v>24266912.82</v>
      </c>
      <c r="I9" s="124">
        <f>I16</f>
        <v>21856043</v>
      </c>
      <c r="J9" s="124"/>
      <c r="K9" s="124">
        <f>K24</f>
        <v>2308865.7</v>
      </c>
      <c r="L9" s="125" t="s">
        <v>76</v>
      </c>
      <c r="M9" s="125" t="s">
        <v>76</v>
      </c>
      <c r="N9" s="124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770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21856043</v>
      </c>
      <c r="I16" s="78">
        <f>I17+I19+I20+I18+I23</f>
        <v>21856043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762" t="s">
        <v>197</v>
      </c>
      <c r="B17" s="771"/>
      <c r="C17" s="764" t="s">
        <v>18</v>
      </c>
      <c r="D17" s="9" t="s">
        <v>81</v>
      </c>
      <c r="E17" s="764"/>
      <c r="F17" s="766">
        <v>131</v>
      </c>
      <c r="G17" s="766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763"/>
      <c r="B18" s="771"/>
      <c r="C18" s="765"/>
      <c r="D18" s="534">
        <v>14130030000000000</v>
      </c>
      <c r="E18" s="765"/>
      <c r="F18" s="767"/>
      <c r="G18" s="767"/>
      <c r="H18" s="131">
        <f t="shared" si="1"/>
        <v>17498704</v>
      </c>
      <c r="I18" s="541">
        <f>16689500+661600+147604</f>
        <v>17498704</v>
      </c>
      <c r="J18" s="110"/>
      <c r="K18" s="117" t="s">
        <v>76</v>
      </c>
      <c r="L18" s="111" t="s">
        <v>76</v>
      </c>
      <c r="M18" s="111" t="s">
        <v>76</v>
      </c>
      <c r="N18" s="117" t="s">
        <v>76</v>
      </c>
      <c r="O18" s="7"/>
      <c r="P18" s="13"/>
    </row>
    <row r="19" spans="1:15" ht="15" customHeight="1">
      <c r="A19" s="691" t="s">
        <v>198</v>
      </c>
      <c r="B19" s="771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771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771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771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772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12.75">
      <c r="A24" s="72" t="s">
        <v>87</v>
      </c>
      <c r="B24" s="62" t="s">
        <v>88</v>
      </c>
      <c r="C24" s="62" t="s">
        <v>76</v>
      </c>
      <c r="D24" s="62" t="s">
        <v>76</v>
      </c>
      <c r="E24" s="62" t="s">
        <v>76</v>
      </c>
      <c r="F24" s="62" t="s">
        <v>76</v>
      </c>
      <c r="G24" s="62" t="s">
        <v>76</v>
      </c>
      <c r="H24" s="127">
        <f>K24</f>
        <v>2308865.7</v>
      </c>
      <c r="I24" s="102" t="s">
        <v>76</v>
      </c>
      <c r="J24" s="100"/>
      <c r="K24" s="100">
        <f>SUM(K25:K48)</f>
        <v>2308865.7</v>
      </c>
      <c r="L24" s="102" t="s">
        <v>76</v>
      </c>
      <c r="M24" s="102" t="s">
        <v>76</v>
      </c>
      <c r="N24" s="102" t="s">
        <v>76</v>
      </c>
      <c r="O24" s="7" t="s">
        <v>76</v>
      </c>
    </row>
    <row r="25" spans="1:16" ht="69" customHeight="1">
      <c r="A25" s="539" t="s">
        <v>45</v>
      </c>
      <c r="B25" s="44"/>
      <c r="C25" s="542" t="s">
        <v>21</v>
      </c>
      <c r="D25" s="543" t="s">
        <v>89</v>
      </c>
      <c r="E25" s="44"/>
      <c r="F25" s="44" t="s">
        <v>284</v>
      </c>
      <c r="G25" s="44"/>
      <c r="H25" s="544">
        <f>K25</f>
        <v>683740</v>
      </c>
      <c r="I25" s="117" t="s">
        <v>76</v>
      </c>
      <c r="J25" s="118"/>
      <c r="K25" s="540">
        <f>676900-23560+30400</f>
        <v>683740</v>
      </c>
      <c r="L25" s="117" t="s">
        <v>76</v>
      </c>
      <c r="M25" s="117" t="s">
        <v>76</v>
      </c>
      <c r="N25" s="117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24.75" customHeight="1">
      <c r="A30" s="699" t="s">
        <v>280</v>
      </c>
      <c r="B30" s="62"/>
      <c r="C30" s="63" t="s">
        <v>50</v>
      </c>
      <c r="D30" s="6" t="s">
        <v>81</v>
      </c>
      <c r="E30" s="392"/>
      <c r="F30" s="6" t="s">
        <v>284</v>
      </c>
      <c r="G30" s="9"/>
      <c r="H30" s="126">
        <f>K30</f>
        <v>80000</v>
      </c>
      <c r="I30" s="107"/>
      <c r="J30" s="322"/>
      <c r="K30" s="78">
        <v>80000</v>
      </c>
      <c r="L30" s="323"/>
      <c r="M30" s="323"/>
      <c r="N30" s="107" t="s">
        <v>76</v>
      </c>
      <c r="O30" s="7"/>
    </row>
    <row r="31" spans="1:15" ht="21" customHeight="1" hidden="1">
      <c r="A31" s="700"/>
      <c r="B31" s="62"/>
      <c r="C31" s="63" t="s">
        <v>50</v>
      </c>
      <c r="D31" s="393" t="s">
        <v>332</v>
      </c>
      <c r="E31" s="20"/>
      <c r="F31" s="695" t="s">
        <v>284</v>
      </c>
      <c r="G31" s="9"/>
      <c r="H31" s="25"/>
      <c r="I31" s="107" t="s">
        <v>76</v>
      </c>
      <c r="J31" s="108"/>
      <c r="K31" s="109"/>
      <c r="L31" s="108"/>
      <c r="M31" s="108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214</v>
      </c>
      <c r="E32" s="9"/>
      <c r="F32" s="695"/>
      <c r="G32" s="9"/>
      <c r="H32" s="126">
        <f aca="true" t="shared" si="2" ref="H32:H48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333</v>
      </c>
      <c r="E33" s="9"/>
      <c r="F33" s="695"/>
      <c r="G33" s="9"/>
      <c r="H33" s="126">
        <f t="shared" si="2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216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1"/>
      <c r="B35" s="62"/>
      <c r="C35" s="63" t="s">
        <v>50</v>
      </c>
      <c r="D35" s="9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>
      <c r="A36" s="741" t="s">
        <v>372</v>
      </c>
      <c r="B36" s="60"/>
      <c r="C36" s="693" t="s">
        <v>373</v>
      </c>
      <c r="D36" s="434" t="s">
        <v>332</v>
      </c>
      <c r="E36" s="9"/>
      <c r="F36" s="6" t="s">
        <v>284</v>
      </c>
      <c r="G36" s="9"/>
      <c r="H36" s="126">
        <f t="shared" si="2"/>
        <v>43200</v>
      </c>
      <c r="I36" s="107"/>
      <c r="J36" s="78"/>
      <c r="K36" s="78">
        <v>43200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214</v>
      </c>
      <c r="E37" s="9"/>
      <c r="F37" s="6" t="s">
        <v>284</v>
      </c>
      <c r="G37" s="9"/>
      <c r="H37" s="126">
        <f t="shared" si="2"/>
        <v>4800</v>
      </c>
      <c r="I37" s="107"/>
      <c r="J37" s="78"/>
      <c r="K37" s="78">
        <v>4800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333</v>
      </c>
      <c r="E38" s="9"/>
      <c r="F38" s="6" t="s">
        <v>284</v>
      </c>
      <c r="G38" s="9"/>
      <c r="H38" s="126">
        <f t="shared" si="2"/>
        <v>10800</v>
      </c>
      <c r="I38" s="107"/>
      <c r="J38" s="78"/>
      <c r="K38" s="78">
        <v>10800</v>
      </c>
      <c r="L38" s="26"/>
      <c r="M38" s="26"/>
      <c r="N38" s="107"/>
      <c r="O38" s="7"/>
    </row>
    <row r="39" spans="1:15" ht="12.75" customHeight="1">
      <c r="A39" s="743"/>
      <c r="B39" s="60"/>
      <c r="C39" s="694"/>
      <c r="D39" s="434" t="s">
        <v>216</v>
      </c>
      <c r="E39" s="9"/>
      <c r="F39" s="6" t="s">
        <v>284</v>
      </c>
      <c r="G39" s="9"/>
      <c r="H39" s="126">
        <f t="shared" si="2"/>
        <v>1200</v>
      </c>
      <c r="I39" s="107"/>
      <c r="J39" s="78"/>
      <c r="K39" s="78">
        <v>1200</v>
      </c>
      <c r="L39" s="26"/>
      <c r="M39" s="26"/>
      <c r="N39" s="107"/>
      <c r="O39" s="7"/>
    </row>
    <row r="40" spans="1:15" ht="12.75">
      <c r="A40" s="711" t="s">
        <v>155</v>
      </c>
      <c r="B40" s="62"/>
      <c r="C40" s="698" t="s">
        <v>51</v>
      </c>
      <c r="D40" s="6" t="s">
        <v>81</v>
      </c>
      <c r="E40" s="9"/>
      <c r="F40" s="693" t="s">
        <v>284</v>
      </c>
      <c r="G40" s="9"/>
      <c r="H40" s="126">
        <f t="shared" si="2"/>
        <v>201123.7</v>
      </c>
      <c r="I40" s="107" t="s">
        <v>76</v>
      </c>
      <c r="J40" s="78"/>
      <c r="K40" s="78">
        <f>195152.7+2985.5+2985.5</f>
        <v>201123.7</v>
      </c>
      <c r="L40" s="26"/>
      <c r="M40" s="26"/>
      <c r="N40" s="107" t="s">
        <v>76</v>
      </c>
      <c r="O40" s="7"/>
    </row>
    <row r="41" spans="1:21" ht="12.75">
      <c r="A41" s="711"/>
      <c r="B41" s="62"/>
      <c r="C41" s="698"/>
      <c r="D41" s="6" t="s">
        <v>166</v>
      </c>
      <c r="E41" s="9"/>
      <c r="F41" s="697"/>
      <c r="G41" s="9"/>
      <c r="H41" s="126">
        <f t="shared" si="2"/>
        <v>188911.8</v>
      </c>
      <c r="I41" s="107" t="s">
        <v>76</v>
      </c>
      <c r="J41" s="78"/>
      <c r="K41" s="78">
        <f>148024.8+20443.5+20443.5</f>
        <v>188911.8</v>
      </c>
      <c r="L41" s="26"/>
      <c r="M41" s="26"/>
      <c r="N41" s="107" t="s">
        <v>76</v>
      </c>
      <c r="O41" s="7"/>
      <c r="U41" s="392"/>
    </row>
    <row r="42" spans="1:15" ht="12.75">
      <c r="A42" s="711"/>
      <c r="B42" s="62"/>
      <c r="C42" s="698"/>
      <c r="D42" s="9" t="s">
        <v>196</v>
      </c>
      <c r="E42" s="9"/>
      <c r="F42" s="694"/>
      <c r="G42" s="9"/>
      <c r="H42" s="126">
        <f t="shared" si="2"/>
        <v>20990.2</v>
      </c>
      <c r="I42" s="107" t="s">
        <v>76</v>
      </c>
      <c r="J42" s="78"/>
      <c r="K42" s="78">
        <f>16447.2+2271.5+2271.5</f>
        <v>20990.2</v>
      </c>
      <c r="L42" s="26"/>
      <c r="M42" s="26"/>
      <c r="N42" s="107" t="s">
        <v>76</v>
      </c>
      <c r="O42" s="7"/>
    </row>
    <row r="43" spans="1:15" ht="63.75">
      <c r="A43" s="65" t="s">
        <v>43</v>
      </c>
      <c r="B43" s="66"/>
      <c r="C43" s="368" t="s">
        <v>42</v>
      </c>
      <c r="D43" s="6" t="s">
        <v>162</v>
      </c>
      <c r="E43" s="9"/>
      <c r="F43" s="6" t="s">
        <v>284</v>
      </c>
      <c r="G43" s="9"/>
      <c r="H43" s="126">
        <f t="shared" si="2"/>
        <v>950000</v>
      </c>
      <c r="I43" s="107" t="s">
        <v>76</v>
      </c>
      <c r="J43" s="78"/>
      <c r="K43" s="78">
        <v>950000</v>
      </c>
      <c r="L43" s="26"/>
      <c r="M43" s="26"/>
      <c r="N43" s="107" t="s">
        <v>76</v>
      </c>
      <c r="O43" s="7"/>
    </row>
    <row r="44" spans="1:21" ht="25.5">
      <c r="A44" s="65" t="s">
        <v>225</v>
      </c>
      <c r="B44" s="66"/>
      <c r="C44" s="59" t="s">
        <v>203</v>
      </c>
      <c r="D44" s="59" t="s">
        <v>81</v>
      </c>
      <c r="E44" s="59"/>
      <c r="F44" s="6" t="s">
        <v>284</v>
      </c>
      <c r="G44" s="9"/>
      <c r="H44" s="126">
        <f t="shared" si="2"/>
        <v>10000</v>
      </c>
      <c r="I44" s="107" t="s">
        <v>76</v>
      </c>
      <c r="J44" s="78"/>
      <c r="K44" s="78">
        <v>10000</v>
      </c>
      <c r="L44" s="26"/>
      <c r="M44" s="26"/>
      <c r="N44" s="107" t="s">
        <v>76</v>
      </c>
      <c r="O44" s="7"/>
      <c r="U44" s="469"/>
    </row>
    <row r="45" spans="1:15" ht="21" customHeight="1" hidden="1">
      <c r="A45" s="689" t="s">
        <v>199</v>
      </c>
      <c r="B45" s="66"/>
      <c r="C45" s="690" t="s">
        <v>192</v>
      </c>
      <c r="D45" s="59" t="s">
        <v>193</v>
      </c>
      <c r="E45" s="59"/>
      <c r="F45" s="693" t="s">
        <v>209</v>
      </c>
      <c r="G45" s="9"/>
      <c r="H45" s="126">
        <f t="shared" si="2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18" customHeight="1" hidden="1">
      <c r="A46" s="689"/>
      <c r="B46" s="66"/>
      <c r="C46" s="690"/>
      <c r="D46" s="59" t="s">
        <v>196</v>
      </c>
      <c r="E46" s="59"/>
      <c r="F46" s="694"/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38.25">
      <c r="A47" s="22" t="s">
        <v>49</v>
      </c>
      <c r="B47" s="6"/>
      <c r="C47" s="6" t="s">
        <v>23</v>
      </c>
      <c r="D47" s="6" t="s">
        <v>228</v>
      </c>
      <c r="E47" s="6"/>
      <c r="F47" s="6" t="s">
        <v>209</v>
      </c>
      <c r="G47" s="6"/>
      <c r="H47" s="129">
        <f t="shared" si="2"/>
        <v>90100</v>
      </c>
      <c r="I47" s="26"/>
      <c r="J47" s="26"/>
      <c r="K47" s="78">
        <v>90100</v>
      </c>
      <c r="L47" s="26"/>
      <c r="M47" s="26"/>
      <c r="N47" s="26"/>
      <c r="O47" s="7"/>
    </row>
    <row r="48" spans="1:15" ht="22.5" customHeight="1" hidden="1">
      <c r="A48" s="8" t="s">
        <v>229</v>
      </c>
      <c r="B48" s="6"/>
      <c r="C48" s="22" t="s">
        <v>230</v>
      </c>
      <c r="D48" s="6" t="s">
        <v>81</v>
      </c>
      <c r="E48" s="9"/>
      <c r="F48" s="15" t="s">
        <v>209</v>
      </c>
      <c r="G48" s="9"/>
      <c r="H48" s="126">
        <f t="shared" si="2"/>
        <v>0</v>
      </c>
      <c r="I48" s="107"/>
      <c r="J48" s="78"/>
      <c r="K48" s="26"/>
      <c r="L48" s="26"/>
      <c r="M48" s="26"/>
      <c r="N48" s="26"/>
      <c r="O48" s="7"/>
    </row>
    <row r="49" spans="1:21" s="25" customFormat="1" ht="17.25" customHeight="1">
      <c r="A49" s="23" t="s">
        <v>94</v>
      </c>
      <c r="B49" s="24" t="s">
        <v>95</v>
      </c>
      <c r="C49" s="56" t="s">
        <v>76</v>
      </c>
      <c r="D49" s="56" t="s">
        <v>76</v>
      </c>
      <c r="E49" s="56" t="s">
        <v>76</v>
      </c>
      <c r="F49" s="56" t="s">
        <v>76</v>
      </c>
      <c r="G49" s="56" t="s">
        <v>76</v>
      </c>
      <c r="H49" s="130">
        <f>I49+N49+K49</f>
        <v>24266912.82</v>
      </c>
      <c r="I49" s="130">
        <f>I55+I82+I100</f>
        <v>21856043</v>
      </c>
      <c r="J49" s="130"/>
      <c r="K49" s="130">
        <f>K100+K104+K106+K119+K130+K133+K135+K113+K138+K140+K142+K108</f>
        <v>2308865.7</v>
      </c>
      <c r="L49" s="130"/>
      <c r="M49" s="130"/>
      <c r="N49" s="130">
        <f>N144</f>
        <v>102004.12000000001</v>
      </c>
      <c r="O49" s="95"/>
      <c r="U49" s="380"/>
    </row>
    <row r="50" spans="1:15" s="25" customFormat="1" ht="18" customHeight="1">
      <c r="A50" s="8" t="s">
        <v>96</v>
      </c>
      <c r="B50" s="9" t="s">
        <v>97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16727130</v>
      </c>
      <c r="I50" s="78">
        <f>I51+I53</f>
        <v>16727130</v>
      </c>
      <c r="J50" s="78"/>
      <c r="K50" s="78"/>
      <c r="L50" s="78"/>
      <c r="M50" s="78"/>
      <c r="N50" s="78"/>
      <c r="O50" s="7" t="s">
        <v>76</v>
      </c>
    </row>
    <row r="51" spans="1:15" s="25" customFormat="1" ht="25.5">
      <c r="A51" s="22" t="s">
        <v>98</v>
      </c>
      <c r="B51" s="9" t="s">
        <v>99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16727130</v>
      </c>
      <c r="I51" s="78">
        <f>I56+I58+I60+I61</f>
        <v>16727130</v>
      </c>
      <c r="J51" s="78"/>
      <c r="K51" s="78"/>
      <c r="L51" s="78"/>
      <c r="M51" s="78"/>
      <c r="N51" s="78"/>
      <c r="O51" s="7" t="s">
        <v>76</v>
      </c>
    </row>
    <row r="52" spans="1:15" s="25" customFormat="1" ht="9.75" customHeight="1" hidden="1">
      <c r="A52" s="8" t="s">
        <v>100</v>
      </c>
      <c r="B52" s="9" t="s">
        <v>101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/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25.5" hidden="1">
      <c r="A53" s="8" t="s">
        <v>102</v>
      </c>
      <c r="B53" s="9" t="s">
        <v>103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0</v>
      </c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13.5" customHeight="1" hidden="1">
      <c r="A54" s="8" t="s">
        <v>104</v>
      </c>
      <c r="B54" s="9" t="s">
        <v>105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v>0</v>
      </c>
      <c r="I54" s="78">
        <v>0</v>
      </c>
      <c r="J54" s="78"/>
      <c r="K54" s="78"/>
      <c r="L54" s="78"/>
      <c r="M54" s="78"/>
      <c r="N54" s="78"/>
      <c r="O54" s="21"/>
    </row>
    <row r="55" spans="1:15" s="25" customFormat="1" ht="29.25" customHeight="1">
      <c r="A55" s="681" t="s">
        <v>428</v>
      </c>
      <c r="B55" s="683"/>
      <c r="C55" s="27" t="s">
        <v>18</v>
      </c>
      <c r="D55" s="3"/>
      <c r="E55" s="27"/>
      <c r="F55" s="3"/>
      <c r="G55" s="3"/>
      <c r="H55" s="124">
        <f>SUM(H56:H81)</f>
        <v>17907004</v>
      </c>
      <c r="I55" s="97">
        <f>SUM(I56:I81)</f>
        <v>17907004</v>
      </c>
      <c r="J55" s="110"/>
      <c r="K55" s="111" t="s">
        <v>107</v>
      </c>
      <c r="L55" s="111"/>
      <c r="M55" s="111"/>
      <c r="N55" s="111" t="s">
        <v>107</v>
      </c>
      <c r="O55" s="28"/>
    </row>
    <row r="56" spans="1:15" s="25" customFormat="1" ht="16.5" customHeight="1">
      <c r="A56" s="530" t="s">
        <v>4</v>
      </c>
      <c r="B56" s="3"/>
      <c r="C56" s="44" t="s">
        <v>18</v>
      </c>
      <c r="D56" s="534">
        <v>14130030000000000</v>
      </c>
      <c r="E56" s="44" t="s">
        <v>108</v>
      </c>
      <c r="F56" s="44" t="s">
        <v>99</v>
      </c>
      <c r="G56" s="44" t="s">
        <v>109</v>
      </c>
      <c r="H56" s="131">
        <f aca="true" t="shared" si="3" ref="H56:H96">I56</f>
        <v>12840000</v>
      </c>
      <c r="I56" s="533">
        <f>12739000-10404-14200+125604</f>
        <v>12840000</v>
      </c>
      <c r="J56" s="110"/>
      <c r="K56" s="117" t="s">
        <v>76</v>
      </c>
      <c r="L56" s="117" t="s">
        <v>76</v>
      </c>
      <c r="M56" s="117" t="s">
        <v>76</v>
      </c>
      <c r="N56" s="117" t="s">
        <v>76</v>
      </c>
      <c r="O56" s="6" t="s">
        <v>76</v>
      </c>
    </row>
    <row r="57" spans="1:15" s="25" customFormat="1" ht="16.5" customHeight="1">
      <c r="A57" s="530" t="s">
        <v>5</v>
      </c>
      <c r="B57" s="3"/>
      <c r="C57" s="44" t="s">
        <v>18</v>
      </c>
      <c r="D57" s="3" t="s">
        <v>81</v>
      </c>
      <c r="E57" s="44" t="s">
        <v>108</v>
      </c>
      <c r="F57" s="532" t="s">
        <v>110</v>
      </c>
      <c r="G57" s="532" t="s">
        <v>111</v>
      </c>
      <c r="H57" s="131">
        <f t="shared" si="3"/>
        <v>400</v>
      </c>
      <c r="I57" s="533">
        <f>400</f>
        <v>400</v>
      </c>
      <c r="J57" s="110"/>
      <c r="K57" s="117" t="s">
        <v>76</v>
      </c>
      <c r="L57" s="117" t="s">
        <v>76</v>
      </c>
      <c r="M57" s="117" t="s">
        <v>76</v>
      </c>
      <c r="N57" s="117" t="s">
        <v>76</v>
      </c>
      <c r="O57" s="6"/>
    </row>
    <row r="58" spans="1:15" s="25" customFormat="1" ht="15.75" customHeight="1">
      <c r="A58" s="530" t="s">
        <v>5</v>
      </c>
      <c r="B58" s="3"/>
      <c r="C58" s="770" t="s">
        <v>18</v>
      </c>
      <c r="D58" s="3" t="s">
        <v>81</v>
      </c>
      <c r="E58" s="44" t="s">
        <v>108</v>
      </c>
      <c r="F58" s="770" t="s">
        <v>116</v>
      </c>
      <c r="G58" s="770" t="s">
        <v>111</v>
      </c>
      <c r="H58" s="131">
        <f t="shared" si="3"/>
        <v>10130</v>
      </c>
      <c r="I58" s="110">
        <f>2270+7860</f>
        <v>10130</v>
      </c>
      <c r="J58" s="110"/>
      <c r="K58" s="117" t="s">
        <v>76</v>
      </c>
      <c r="L58" s="117" t="s">
        <v>76</v>
      </c>
      <c r="M58" s="117" t="s">
        <v>76</v>
      </c>
      <c r="N58" s="117" t="s">
        <v>76</v>
      </c>
      <c r="O58" s="6"/>
    </row>
    <row r="59" spans="1:15" s="25" customFormat="1" ht="12.75">
      <c r="A59" s="22" t="s">
        <v>5</v>
      </c>
      <c r="B59" s="9"/>
      <c r="C59" s="772"/>
      <c r="D59" s="14">
        <v>14130030000000000</v>
      </c>
      <c r="E59" s="9" t="s">
        <v>157</v>
      </c>
      <c r="F59" s="773"/>
      <c r="G59" s="773"/>
      <c r="H59" s="126">
        <f t="shared" si="3"/>
        <v>2400</v>
      </c>
      <c r="I59" s="78">
        <v>2400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 t="s">
        <v>76</v>
      </c>
    </row>
    <row r="60" spans="1:15" s="25" customFormat="1" ht="12.75">
      <c r="A60" s="539" t="s">
        <v>6</v>
      </c>
      <c r="B60" s="3"/>
      <c r="C60" s="44" t="s">
        <v>18</v>
      </c>
      <c r="D60" s="534">
        <v>14130030000000000</v>
      </c>
      <c r="E60" s="44" t="s">
        <v>108</v>
      </c>
      <c r="F60" s="44" t="s">
        <v>112</v>
      </c>
      <c r="G60" s="44" t="s">
        <v>113</v>
      </c>
      <c r="H60" s="131">
        <f t="shared" si="3"/>
        <v>3877000</v>
      </c>
      <c r="I60" s="110">
        <f>3855000+22000</f>
        <v>3877000</v>
      </c>
      <c r="J60" s="110"/>
      <c r="K60" s="117" t="s">
        <v>76</v>
      </c>
      <c r="L60" s="117" t="s">
        <v>76</v>
      </c>
      <c r="M60" s="117" t="s">
        <v>76</v>
      </c>
      <c r="N60" s="117" t="s">
        <v>76</v>
      </c>
      <c r="O60" s="6" t="s">
        <v>76</v>
      </c>
    </row>
    <row r="61" spans="1:15" s="25" customFormat="1" ht="12.75" hidden="1">
      <c r="A61" s="86"/>
      <c r="B61" s="12"/>
      <c r="C61" s="60"/>
      <c r="D61" s="30">
        <v>14130030000000000</v>
      </c>
      <c r="E61" s="29"/>
      <c r="F61" s="31"/>
      <c r="G61" s="31"/>
      <c r="H61" s="126">
        <f t="shared" si="3"/>
        <v>0</v>
      </c>
      <c r="I61" s="78"/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/>
    </row>
    <row r="62" spans="1:15" s="25" customFormat="1" ht="13.5" customHeight="1">
      <c r="A62" s="691" t="s">
        <v>7</v>
      </c>
      <c r="B62" s="9"/>
      <c r="C62" s="693" t="s">
        <v>18</v>
      </c>
      <c r="D62" s="9" t="s">
        <v>81</v>
      </c>
      <c r="E62" s="9" t="s">
        <v>108</v>
      </c>
      <c r="F62" s="693" t="s">
        <v>114</v>
      </c>
      <c r="G62" s="9" t="s">
        <v>115</v>
      </c>
      <c r="H62" s="126">
        <f t="shared" si="3"/>
        <v>32600</v>
      </c>
      <c r="I62" s="113">
        <v>32600</v>
      </c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 t="s">
        <v>115</v>
      </c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 hidden="1">
      <c r="A66" s="696"/>
      <c r="B66" s="9"/>
      <c r="C66" s="697"/>
      <c r="D66" s="15"/>
      <c r="E66" s="9"/>
      <c r="F66" s="697"/>
      <c r="G66" s="9"/>
      <c r="H66" s="126">
        <f t="shared" si="3"/>
        <v>0</v>
      </c>
      <c r="I66" s="78"/>
      <c r="J66" s="78"/>
      <c r="K66" s="107" t="s">
        <v>76</v>
      </c>
      <c r="L66" s="107" t="s">
        <v>76</v>
      </c>
      <c r="M66" s="107" t="s">
        <v>76</v>
      </c>
      <c r="N66" s="107" t="s">
        <v>76</v>
      </c>
      <c r="O66" s="6" t="s">
        <v>76</v>
      </c>
    </row>
    <row r="67" spans="1:15" s="25" customFormat="1" ht="12.75" customHeight="1">
      <c r="A67" s="692"/>
      <c r="B67" s="9"/>
      <c r="C67" s="694"/>
      <c r="D67" s="14">
        <v>14130030000000000</v>
      </c>
      <c r="E67" s="9" t="s">
        <v>108</v>
      </c>
      <c r="F67" s="694"/>
      <c r="G67" s="9" t="s">
        <v>115</v>
      </c>
      <c r="H67" s="126">
        <f t="shared" si="3"/>
        <v>50155</v>
      </c>
      <c r="I67" s="106">
        <f>30000+20155</f>
        <v>50155</v>
      </c>
      <c r="J67" s="78"/>
      <c r="K67" s="107" t="s">
        <v>76</v>
      </c>
      <c r="L67" s="107"/>
      <c r="M67" s="107"/>
      <c r="N67" s="107" t="s">
        <v>76</v>
      </c>
      <c r="O67" s="6"/>
    </row>
    <row r="68" spans="1:15" s="25" customFormat="1" ht="12.75" customHeight="1">
      <c r="A68" s="16" t="s">
        <v>8</v>
      </c>
      <c r="B68" s="9"/>
      <c r="C68" s="6" t="s">
        <v>18</v>
      </c>
      <c r="D68" s="9" t="s">
        <v>81</v>
      </c>
      <c r="E68" s="10" t="s">
        <v>108</v>
      </c>
      <c r="F68" s="11" t="s">
        <v>128</v>
      </c>
      <c r="G68" s="10" t="s">
        <v>115</v>
      </c>
      <c r="H68" s="126">
        <f t="shared" si="3"/>
        <v>102000</v>
      </c>
      <c r="I68" s="113">
        <v>102000</v>
      </c>
      <c r="J68" s="78"/>
      <c r="K68" s="107" t="s">
        <v>76</v>
      </c>
      <c r="L68" s="107"/>
      <c r="M68" s="107"/>
      <c r="N68" s="107" t="s">
        <v>76</v>
      </c>
      <c r="O68" s="6"/>
    </row>
    <row r="69" spans="1:15" s="25" customFormat="1" ht="12.75">
      <c r="A69" s="768" t="s">
        <v>12</v>
      </c>
      <c r="B69" s="3"/>
      <c r="C69" s="770" t="s">
        <v>18</v>
      </c>
      <c r="D69" s="3" t="s">
        <v>81</v>
      </c>
      <c r="E69" s="770" t="s">
        <v>108</v>
      </c>
      <c r="F69" s="770" t="s">
        <v>116</v>
      </c>
      <c r="G69" s="770" t="s">
        <v>115</v>
      </c>
      <c r="H69" s="131">
        <f t="shared" si="3"/>
        <v>236697.8</v>
      </c>
      <c r="I69" s="531">
        <f>216300+56000-21600-2270-11732.2</f>
        <v>236697.8</v>
      </c>
      <c r="J69" s="110"/>
      <c r="K69" s="117" t="s">
        <v>76</v>
      </c>
      <c r="L69" s="117" t="s">
        <v>76</v>
      </c>
      <c r="M69" s="117" t="s">
        <v>76</v>
      </c>
      <c r="N69" s="117" t="s">
        <v>76</v>
      </c>
      <c r="O69" s="6" t="s">
        <v>76</v>
      </c>
    </row>
    <row r="70" spans="1:15" s="25" customFormat="1" ht="12.75">
      <c r="A70" s="769"/>
      <c r="B70" s="3"/>
      <c r="C70" s="772"/>
      <c r="D70" s="14">
        <v>14130030000000000</v>
      </c>
      <c r="E70" s="772"/>
      <c r="F70" s="772"/>
      <c r="G70" s="772"/>
      <c r="H70" s="126">
        <f t="shared" si="3"/>
        <v>0</v>
      </c>
      <c r="I70" s="79"/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/>
    </row>
    <row r="71" spans="1:15" s="25" customFormat="1" ht="12.75">
      <c r="A71" s="22" t="s">
        <v>13</v>
      </c>
      <c r="B71" s="9"/>
      <c r="C71" s="9"/>
      <c r="D71" s="15"/>
      <c r="E71" s="9"/>
      <c r="F71" s="9" t="s">
        <v>117</v>
      </c>
      <c r="G71" s="9" t="s">
        <v>115</v>
      </c>
      <c r="H71" s="126">
        <f t="shared" si="3"/>
        <v>0</v>
      </c>
      <c r="I71" s="78"/>
      <c r="J71" s="78"/>
      <c r="K71" s="107" t="s">
        <v>76</v>
      </c>
      <c r="L71" s="107" t="s">
        <v>76</v>
      </c>
      <c r="M71" s="107" t="s">
        <v>76</v>
      </c>
      <c r="N71" s="107" t="s">
        <v>76</v>
      </c>
      <c r="O71" s="6" t="s">
        <v>76</v>
      </c>
    </row>
    <row r="72" spans="1:15" s="25" customFormat="1" ht="12.75">
      <c r="A72" s="22" t="s">
        <v>427</v>
      </c>
      <c r="B72" s="9"/>
      <c r="C72" s="6" t="s">
        <v>18</v>
      </c>
      <c r="D72" s="9" t="s">
        <v>81</v>
      </c>
      <c r="E72" s="471" t="s">
        <v>232</v>
      </c>
      <c r="F72" s="9" t="s">
        <v>116</v>
      </c>
      <c r="G72" s="10" t="s">
        <v>115</v>
      </c>
      <c r="H72" s="126">
        <f t="shared" si="3"/>
        <v>21600</v>
      </c>
      <c r="I72" s="78">
        <v>21600</v>
      </c>
      <c r="J72" s="78"/>
      <c r="K72" s="107"/>
      <c r="L72" s="107"/>
      <c r="M72" s="107"/>
      <c r="N72" s="107"/>
      <c r="O72" s="6"/>
    </row>
    <row r="73" spans="1:15" s="25" customFormat="1" ht="25.5">
      <c r="A73" s="22" t="s">
        <v>245</v>
      </c>
      <c r="B73" s="9"/>
      <c r="C73" s="9" t="s">
        <v>18</v>
      </c>
      <c r="D73" s="14">
        <v>14130010000000000</v>
      </c>
      <c r="E73" s="9" t="s">
        <v>108</v>
      </c>
      <c r="F73" s="9" t="s">
        <v>246</v>
      </c>
      <c r="G73" s="10" t="s">
        <v>109</v>
      </c>
      <c r="H73" s="126">
        <f t="shared" si="3"/>
        <v>50104</v>
      </c>
      <c r="I73" s="78">
        <f>25500+10404+14200</f>
        <v>50104</v>
      </c>
      <c r="J73" s="78"/>
      <c r="K73" s="107" t="s">
        <v>76</v>
      </c>
      <c r="L73" s="107" t="s">
        <v>76</v>
      </c>
      <c r="M73" s="107" t="s">
        <v>76</v>
      </c>
      <c r="N73" s="107" t="s">
        <v>76</v>
      </c>
      <c r="O73" s="6"/>
    </row>
    <row r="74" spans="1:15" s="25" customFormat="1" ht="12.75">
      <c r="A74" s="22" t="s">
        <v>14</v>
      </c>
      <c r="B74" s="9"/>
      <c r="C74" s="9" t="s">
        <v>18</v>
      </c>
      <c r="D74" s="14">
        <v>14130030000000000</v>
      </c>
      <c r="E74" s="695" t="s">
        <v>108</v>
      </c>
      <c r="F74" s="9" t="s">
        <v>118</v>
      </c>
      <c r="G74" s="9" t="s">
        <v>115</v>
      </c>
      <c r="H74" s="126">
        <f t="shared" si="3"/>
        <v>639045</v>
      </c>
      <c r="I74" s="79">
        <f>641445-2400</f>
        <v>639045</v>
      </c>
      <c r="J74" s="78"/>
      <c r="K74" s="107" t="s">
        <v>76</v>
      </c>
      <c r="L74" s="107" t="s">
        <v>76</v>
      </c>
      <c r="M74" s="107" t="s">
        <v>76</v>
      </c>
      <c r="N74" s="107" t="s">
        <v>76</v>
      </c>
      <c r="O74" s="6" t="s">
        <v>76</v>
      </c>
    </row>
    <row r="75" spans="1:15" s="25" customFormat="1" ht="51" hidden="1">
      <c r="A75" s="82" t="s">
        <v>237</v>
      </c>
      <c r="B75" s="9"/>
      <c r="C75" s="83" t="s">
        <v>18</v>
      </c>
      <c r="D75" s="9" t="s">
        <v>81</v>
      </c>
      <c r="E75" s="695"/>
      <c r="F75" s="84" t="s">
        <v>238</v>
      </c>
      <c r="G75" s="84" t="s">
        <v>115</v>
      </c>
      <c r="H75" s="126">
        <f t="shared" si="3"/>
        <v>0</v>
      </c>
      <c r="I75" s="113"/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38.25">
      <c r="A76" s="82" t="s">
        <v>239</v>
      </c>
      <c r="B76" s="9"/>
      <c r="C76" s="83" t="s">
        <v>18</v>
      </c>
      <c r="D76" s="9" t="s">
        <v>81</v>
      </c>
      <c r="E76" s="83" t="s">
        <v>108</v>
      </c>
      <c r="F76" s="84" t="s">
        <v>240</v>
      </c>
      <c r="G76" s="84" t="s">
        <v>115</v>
      </c>
      <c r="H76" s="126">
        <f t="shared" si="3"/>
        <v>1400</v>
      </c>
      <c r="I76" s="106">
        <v>1400</v>
      </c>
      <c r="J76" s="78"/>
      <c r="K76" s="107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25.5">
      <c r="A77" s="530" t="s">
        <v>241</v>
      </c>
      <c r="B77" s="3"/>
      <c r="C77" s="3" t="s">
        <v>18</v>
      </c>
      <c r="D77" s="3" t="s">
        <v>81</v>
      </c>
      <c r="E77" s="535" t="s">
        <v>108</v>
      </c>
      <c r="F77" s="3" t="s">
        <v>242</v>
      </c>
      <c r="G77" s="3" t="s">
        <v>115</v>
      </c>
      <c r="H77" s="131">
        <f>I77</f>
        <v>3472.2</v>
      </c>
      <c r="I77" s="536">
        <v>3472.2</v>
      </c>
      <c r="J77" s="110"/>
      <c r="K77" s="117" t="s">
        <v>76</v>
      </c>
      <c r="L77" s="117" t="s">
        <v>76</v>
      </c>
      <c r="M77" s="117" t="s">
        <v>76</v>
      </c>
      <c r="N77" s="117" t="s">
        <v>76</v>
      </c>
      <c r="O77" s="6"/>
    </row>
    <row r="78" spans="1:15" s="25" customFormat="1" ht="25.5">
      <c r="A78" s="22" t="s">
        <v>241</v>
      </c>
      <c r="B78" s="9"/>
      <c r="C78" s="9" t="s">
        <v>18</v>
      </c>
      <c r="D78" s="14">
        <v>14130030000000000</v>
      </c>
      <c r="E78" s="10" t="s">
        <v>108</v>
      </c>
      <c r="F78" s="9" t="s">
        <v>242</v>
      </c>
      <c r="G78" s="9" t="s">
        <v>115</v>
      </c>
      <c r="H78" s="126">
        <f t="shared" si="3"/>
        <v>40000</v>
      </c>
      <c r="I78" s="376">
        <f>20000+20000</f>
        <v>40000</v>
      </c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/>
    </row>
    <row r="79" spans="1:15" s="25" customFormat="1" ht="25.5">
      <c r="A79" s="394" t="s">
        <v>243</v>
      </c>
      <c r="B79" s="6"/>
      <c r="C79" s="6" t="s">
        <v>18</v>
      </c>
      <c r="D79" s="395">
        <v>14130030000000000</v>
      </c>
      <c r="E79" s="6" t="s">
        <v>108</v>
      </c>
      <c r="F79" s="6" t="s">
        <v>244</v>
      </c>
      <c r="G79" s="6" t="s">
        <v>115</v>
      </c>
      <c r="H79" s="126">
        <f t="shared" si="3"/>
        <v>0</v>
      </c>
      <c r="I79" s="376">
        <f>20000-20000</f>
        <v>0</v>
      </c>
      <c r="J79" s="107"/>
      <c r="K79" s="107" t="s">
        <v>76</v>
      </c>
      <c r="L79" s="107" t="s">
        <v>76</v>
      </c>
      <c r="M79" s="107" t="s">
        <v>76</v>
      </c>
      <c r="N79" s="107" t="s">
        <v>76</v>
      </c>
      <c r="O79" s="6"/>
    </row>
    <row r="80" spans="1:15" s="25" customFormat="1" ht="12.75" hidden="1">
      <c r="A80" s="691" t="s">
        <v>188</v>
      </c>
      <c r="B80" s="9"/>
      <c r="C80" s="693" t="s">
        <v>18</v>
      </c>
      <c r="D80" s="9" t="s">
        <v>81</v>
      </c>
      <c r="E80" s="693" t="s">
        <v>108</v>
      </c>
      <c r="F80" s="693" t="s">
        <v>119</v>
      </c>
      <c r="G80" s="693" t="s">
        <v>115</v>
      </c>
      <c r="H80" s="126">
        <f t="shared" si="3"/>
        <v>0</v>
      </c>
      <c r="I80" s="78"/>
      <c r="J80" s="100"/>
      <c r="K80" s="101" t="s">
        <v>76</v>
      </c>
      <c r="L80" s="101" t="s">
        <v>76</v>
      </c>
      <c r="M80" s="101" t="s">
        <v>76</v>
      </c>
      <c r="N80" s="101" t="s">
        <v>76</v>
      </c>
      <c r="O80" s="6"/>
    </row>
    <row r="81" spans="1:15" s="25" customFormat="1" ht="12.75" hidden="1">
      <c r="A81" s="692"/>
      <c r="B81" s="9"/>
      <c r="C81" s="694"/>
      <c r="D81" s="14">
        <v>14130030000000000</v>
      </c>
      <c r="E81" s="694"/>
      <c r="F81" s="694"/>
      <c r="G81" s="694"/>
      <c r="H81" s="126">
        <f t="shared" si="3"/>
        <v>0</v>
      </c>
      <c r="I81" s="79"/>
      <c r="J81" s="100"/>
      <c r="K81" s="101" t="s">
        <v>76</v>
      </c>
      <c r="L81" s="101" t="s">
        <v>76</v>
      </c>
      <c r="M81" s="101" t="s">
        <v>76</v>
      </c>
      <c r="N81" s="101" t="s">
        <v>76</v>
      </c>
      <c r="O81" s="6" t="s">
        <v>76</v>
      </c>
    </row>
    <row r="82" spans="1:15" s="25" customFormat="1" ht="27.75" customHeight="1">
      <c r="A82" s="681" t="s">
        <v>189</v>
      </c>
      <c r="B82" s="683"/>
      <c r="C82" s="27" t="s">
        <v>20</v>
      </c>
      <c r="D82" s="3"/>
      <c r="E82" s="27"/>
      <c r="F82" s="3"/>
      <c r="G82" s="3"/>
      <c r="H82" s="124">
        <f t="shared" si="3"/>
        <v>3949039</v>
      </c>
      <c r="I82" s="97">
        <f>SUM(I83:I99)</f>
        <v>3949039</v>
      </c>
      <c r="J82" s="110"/>
      <c r="K82" s="111" t="s">
        <v>107</v>
      </c>
      <c r="L82" s="111"/>
      <c r="M82" s="111"/>
      <c r="N82" s="111" t="s">
        <v>107</v>
      </c>
      <c r="O82" s="28"/>
    </row>
    <row r="83" spans="1:15" s="25" customFormat="1" ht="15" customHeight="1">
      <c r="A83" s="22" t="s">
        <v>9</v>
      </c>
      <c r="B83" s="9"/>
      <c r="C83" s="9" t="s">
        <v>20</v>
      </c>
      <c r="D83" s="9" t="s">
        <v>81</v>
      </c>
      <c r="E83" s="9" t="s">
        <v>108</v>
      </c>
      <c r="F83" s="9" t="s">
        <v>120</v>
      </c>
      <c r="G83" s="9" t="s">
        <v>115</v>
      </c>
      <c r="H83" s="126">
        <f t="shared" si="3"/>
        <v>934139</v>
      </c>
      <c r="I83" s="78">
        <f>1083500-149361</f>
        <v>934139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5" customHeight="1">
      <c r="A84" s="82" t="s">
        <v>8</v>
      </c>
      <c r="B84" s="9"/>
      <c r="C84" s="9" t="s">
        <v>20</v>
      </c>
      <c r="D84" s="9" t="s">
        <v>81</v>
      </c>
      <c r="E84" s="10" t="s">
        <v>108</v>
      </c>
      <c r="F84" s="10" t="s">
        <v>128</v>
      </c>
      <c r="G84" s="10" t="s">
        <v>115</v>
      </c>
      <c r="H84" s="126">
        <f t="shared" si="3"/>
        <v>17547.48</v>
      </c>
      <c r="I84" s="78">
        <v>17547.48</v>
      </c>
      <c r="J84" s="78"/>
      <c r="K84" s="107"/>
      <c r="L84" s="107"/>
      <c r="M84" s="107"/>
      <c r="N84" s="107"/>
      <c r="O84" s="6"/>
    </row>
    <row r="85" spans="1:15" s="25" customFormat="1" ht="15" customHeight="1">
      <c r="A85" s="691" t="s">
        <v>11</v>
      </c>
      <c r="B85" s="9"/>
      <c r="C85" s="693" t="s">
        <v>20</v>
      </c>
      <c r="D85" s="9" t="s">
        <v>81</v>
      </c>
      <c r="E85" s="693" t="s">
        <v>108</v>
      </c>
      <c r="F85" s="693" t="s">
        <v>121</v>
      </c>
      <c r="G85" s="693" t="s">
        <v>115</v>
      </c>
      <c r="H85" s="126">
        <f t="shared" si="3"/>
        <v>231900</v>
      </c>
      <c r="I85" s="112">
        <f>246900-15000</f>
        <v>231900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692"/>
      <c r="B86" s="9"/>
      <c r="C86" s="694"/>
      <c r="D86" s="14">
        <v>14130030000000000</v>
      </c>
      <c r="E86" s="694"/>
      <c r="F86" s="694"/>
      <c r="G86" s="694"/>
      <c r="H86" s="126">
        <f t="shared" si="3"/>
        <v>2020000</v>
      </c>
      <c r="I86" s="112">
        <v>2020000</v>
      </c>
      <c r="J86" s="362"/>
      <c r="K86" s="107" t="s">
        <v>76</v>
      </c>
      <c r="L86" s="107"/>
      <c r="M86" s="107"/>
      <c r="N86" s="107" t="s">
        <v>76</v>
      </c>
      <c r="O86" s="6"/>
    </row>
    <row r="87" spans="1:15" s="25" customFormat="1" ht="12.75">
      <c r="A87" s="691" t="s">
        <v>12</v>
      </c>
      <c r="B87" s="9"/>
      <c r="C87" s="693" t="s">
        <v>20</v>
      </c>
      <c r="D87" s="9" t="s">
        <v>81</v>
      </c>
      <c r="E87" s="693" t="s">
        <v>108</v>
      </c>
      <c r="F87" s="693" t="s">
        <v>116</v>
      </c>
      <c r="G87" s="693" t="s">
        <v>115</v>
      </c>
      <c r="H87" s="126">
        <f t="shared" si="3"/>
        <v>82352.52</v>
      </c>
      <c r="I87" s="78">
        <f>99900-17547.48</f>
        <v>82352.52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692"/>
      <c r="B88" s="9"/>
      <c r="C88" s="694"/>
      <c r="D88" s="14">
        <v>14130030000000000</v>
      </c>
      <c r="E88" s="694"/>
      <c r="F88" s="694"/>
      <c r="G88" s="694"/>
      <c r="H88" s="126">
        <f t="shared" si="3"/>
        <v>534800</v>
      </c>
      <c r="I88" s="115">
        <v>534800</v>
      </c>
      <c r="J88" s="78"/>
      <c r="K88" s="107" t="s">
        <v>76</v>
      </c>
      <c r="L88" s="107"/>
      <c r="M88" s="107"/>
      <c r="N88" s="107" t="s">
        <v>76</v>
      </c>
      <c r="O88" s="6"/>
    </row>
    <row r="89" spans="1:15" s="25" customFormat="1" ht="12.75">
      <c r="A89" s="530" t="s">
        <v>249</v>
      </c>
      <c r="B89" s="3"/>
      <c r="C89" s="3" t="s">
        <v>20</v>
      </c>
      <c r="D89" s="3" t="s">
        <v>81</v>
      </c>
      <c r="E89" s="3" t="s">
        <v>108</v>
      </c>
      <c r="F89" s="3" t="s">
        <v>206</v>
      </c>
      <c r="G89" s="3" t="s">
        <v>122</v>
      </c>
      <c r="H89" s="131">
        <f t="shared" si="3"/>
        <v>60200</v>
      </c>
      <c r="I89" s="110">
        <f>55400+4800</f>
        <v>60200</v>
      </c>
      <c r="J89" s="110"/>
      <c r="K89" s="117" t="s">
        <v>76</v>
      </c>
      <c r="L89" s="117" t="s">
        <v>76</v>
      </c>
      <c r="M89" s="117" t="s">
        <v>76</v>
      </c>
      <c r="N89" s="117" t="s">
        <v>76</v>
      </c>
      <c r="O89" s="6" t="s">
        <v>76</v>
      </c>
    </row>
    <row r="90" spans="1:15" s="25" customFormat="1" ht="12.75">
      <c r="A90" s="530" t="s">
        <v>249</v>
      </c>
      <c r="B90" s="3"/>
      <c r="C90" s="3" t="s">
        <v>20</v>
      </c>
      <c r="D90" s="3" t="s">
        <v>81</v>
      </c>
      <c r="E90" s="3" t="s">
        <v>108</v>
      </c>
      <c r="F90" s="3" t="s">
        <v>206</v>
      </c>
      <c r="G90" s="3" t="s">
        <v>250</v>
      </c>
      <c r="H90" s="131">
        <f t="shared" si="3"/>
        <v>0</v>
      </c>
      <c r="I90" s="538">
        <f>4800-4800</f>
        <v>0</v>
      </c>
      <c r="J90" s="110"/>
      <c r="K90" s="117" t="s">
        <v>76</v>
      </c>
      <c r="L90" s="117" t="s">
        <v>76</v>
      </c>
      <c r="M90" s="117" t="s">
        <v>76</v>
      </c>
      <c r="N90" s="117" t="s">
        <v>76</v>
      </c>
      <c r="O90" s="6" t="s">
        <v>76</v>
      </c>
    </row>
    <row r="91" spans="1:15" s="25" customFormat="1" ht="12.75" hidden="1">
      <c r="A91" s="22" t="s">
        <v>14</v>
      </c>
      <c r="B91" s="9"/>
      <c r="C91" s="9" t="s">
        <v>20</v>
      </c>
      <c r="D91" s="9" t="s">
        <v>81</v>
      </c>
      <c r="E91" s="9" t="s">
        <v>124</v>
      </c>
      <c r="F91" s="9" t="s">
        <v>118</v>
      </c>
      <c r="G91" s="9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51" hidden="1">
      <c r="A92" s="82" t="s">
        <v>237</v>
      </c>
      <c r="B92" s="9"/>
      <c r="C92" s="83" t="s">
        <v>18</v>
      </c>
      <c r="D92" s="9" t="s">
        <v>81</v>
      </c>
      <c r="E92" s="83" t="s">
        <v>124</v>
      </c>
      <c r="F92" s="84" t="s">
        <v>238</v>
      </c>
      <c r="G92" s="84" t="s">
        <v>115</v>
      </c>
      <c r="H92" s="126">
        <f t="shared" si="3"/>
        <v>0</v>
      </c>
      <c r="I92" s="78"/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38.25" hidden="1">
      <c r="A93" s="82" t="s">
        <v>239</v>
      </c>
      <c r="B93" s="9"/>
      <c r="C93" s="83" t="s">
        <v>18</v>
      </c>
      <c r="D93" s="9" t="s">
        <v>81</v>
      </c>
      <c r="E93" s="83" t="s">
        <v>124</v>
      </c>
      <c r="F93" s="84" t="s">
        <v>240</v>
      </c>
      <c r="G93" s="84" t="s">
        <v>115</v>
      </c>
      <c r="H93" s="126">
        <f t="shared" si="3"/>
        <v>0</v>
      </c>
      <c r="I93" s="78"/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25.5">
      <c r="A94" s="537" t="s">
        <v>248</v>
      </c>
      <c r="B94" s="3"/>
      <c r="C94" s="3" t="s">
        <v>20</v>
      </c>
      <c r="D94" s="3" t="s">
        <v>81</v>
      </c>
      <c r="E94" s="535" t="s">
        <v>108</v>
      </c>
      <c r="F94" s="535" t="s">
        <v>247</v>
      </c>
      <c r="G94" s="535" t="s">
        <v>115</v>
      </c>
      <c r="H94" s="131">
        <f t="shared" si="3"/>
        <v>30100</v>
      </c>
      <c r="I94" s="110">
        <f>10000+10000+15000-15000+10100</f>
        <v>30100</v>
      </c>
      <c r="J94" s="110"/>
      <c r="K94" s="117" t="s">
        <v>76</v>
      </c>
      <c r="L94" s="117" t="s">
        <v>76</v>
      </c>
      <c r="M94" s="117" t="s">
        <v>76</v>
      </c>
      <c r="N94" s="117" t="s">
        <v>76</v>
      </c>
      <c r="O94" s="6"/>
    </row>
    <row r="95" spans="1:15" s="25" customFormat="1" ht="25.5">
      <c r="A95" s="530" t="s">
        <v>241</v>
      </c>
      <c r="B95" s="3"/>
      <c r="C95" s="3" t="s">
        <v>20</v>
      </c>
      <c r="D95" s="3" t="s">
        <v>81</v>
      </c>
      <c r="E95" s="3" t="s">
        <v>108</v>
      </c>
      <c r="F95" s="3" t="s">
        <v>242</v>
      </c>
      <c r="G95" s="3" t="s">
        <v>115</v>
      </c>
      <c r="H95" s="131">
        <f t="shared" si="3"/>
        <v>38000</v>
      </c>
      <c r="I95" s="110">
        <f>33100+15000-10100</f>
        <v>38000</v>
      </c>
      <c r="J95" s="110"/>
      <c r="K95" s="117" t="s">
        <v>76</v>
      </c>
      <c r="L95" s="117" t="s">
        <v>76</v>
      </c>
      <c r="M95" s="117" t="s">
        <v>76</v>
      </c>
      <c r="N95" s="117" t="s">
        <v>76</v>
      </c>
      <c r="O95" s="6"/>
    </row>
    <row r="96" spans="1:15" s="25" customFormat="1" ht="25.5" hidden="1">
      <c r="A96" s="85" t="s">
        <v>243</v>
      </c>
      <c r="B96" s="57"/>
      <c r="C96" s="9" t="s">
        <v>20</v>
      </c>
      <c r="D96" s="9" t="s">
        <v>81</v>
      </c>
      <c r="E96" s="9" t="s">
        <v>108</v>
      </c>
      <c r="F96" s="9" t="s">
        <v>244</v>
      </c>
      <c r="G96" s="9" t="s">
        <v>115</v>
      </c>
      <c r="H96" s="126">
        <f t="shared" si="3"/>
        <v>0</v>
      </c>
      <c r="I96" s="78">
        <f>10000-10000</f>
        <v>0</v>
      </c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/>
    </row>
    <row r="97" spans="1:15" s="25" customFormat="1" ht="12.75" hidden="1">
      <c r="A97" s="22"/>
      <c r="B97" s="9"/>
      <c r="C97" s="9"/>
      <c r="D97" s="9"/>
      <c r="E97" s="9"/>
      <c r="F97" s="9"/>
      <c r="G97" s="9"/>
      <c r="H97" s="126"/>
      <c r="I97" s="78"/>
      <c r="J97" s="78"/>
      <c r="K97" s="107"/>
      <c r="L97" s="107"/>
      <c r="M97" s="107"/>
      <c r="N97" s="107"/>
      <c r="O97" s="6"/>
    </row>
    <row r="98" spans="1:15" s="25" customFormat="1" ht="12.75" hidden="1">
      <c r="A98" s="22"/>
      <c r="B98" s="9"/>
      <c r="C98" s="9"/>
      <c r="D98" s="9"/>
      <c r="E98" s="9"/>
      <c r="F98" s="9"/>
      <c r="G98" s="9"/>
      <c r="H98" s="126"/>
      <c r="I98" s="78"/>
      <c r="J98" s="78"/>
      <c r="K98" s="107"/>
      <c r="L98" s="107"/>
      <c r="M98" s="107"/>
      <c r="N98" s="107"/>
      <c r="O98" s="6"/>
    </row>
    <row r="99" spans="1:15" s="25" customFormat="1" ht="12.75" hidden="1">
      <c r="A99" s="22" t="s">
        <v>188</v>
      </c>
      <c r="B99" s="9"/>
      <c r="C99" s="9" t="s">
        <v>20</v>
      </c>
      <c r="D99" s="9" t="s">
        <v>81</v>
      </c>
      <c r="E99" s="9" t="s">
        <v>108</v>
      </c>
      <c r="F99" s="9" t="s">
        <v>119</v>
      </c>
      <c r="G99" s="9" t="s">
        <v>115</v>
      </c>
      <c r="H99" s="126">
        <f>I99</f>
        <v>0</v>
      </c>
      <c r="I99" s="78"/>
      <c r="J99" s="78"/>
      <c r="K99" s="107" t="s">
        <v>76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3.5">
      <c r="A100" s="681" t="s">
        <v>125</v>
      </c>
      <c r="B100" s="683"/>
      <c r="C100" s="27" t="s">
        <v>21</v>
      </c>
      <c r="D100" s="3"/>
      <c r="E100" s="27"/>
      <c r="F100" s="3"/>
      <c r="G100" s="3"/>
      <c r="H100" s="124">
        <f>K100</f>
        <v>683740</v>
      </c>
      <c r="I100" s="98"/>
      <c r="J100" s="97"/>
      <c r="K100" s="97">
        <f>K103</f>
        <v>683740</v>
      </c>
      <c r="L100" s="110"/>
      <c r="M100" s="110"/>
      <c r="N100" s="111" t="s">
        <v>107</v>
      </c>
      <c r="O100" s="28"/>
    </row>
    <row r="101" spans="1:15" s="25" customFormat="1" ht="12.75" hidden="1">
      <c r="A101" s="22" t="s">
        <v>4</v>
      </c>
      <c r="B101" s="9"/>
      <c r="C101" s="9"/>
      <c r="D101" s="9"/>
      <c r="E101" s="9"/>
      <c r="F101" s="9" t="s">
        <v>99</v>
      </c>
      <c r="G101" s="9" t="s">
        <v>109</v>
      </c>
      <c r="H101" s="126">
        <f>I101</f>
        <v>0</v>
      </c>
      <c r="I101" s="78"/>
      <c r="J101" s="78"/>
      <c r="K101" s="116" t="s">
        <v>76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2.75" hidden="1">
      <c r="A102" s="22" t="s">
        <v>5</v>
      </c>
      <c r="B102" s="9"/>
      <c r="C102" s="9"/>
      <c r="D102" s="9"/>
      <c r="E102" s="9"/>
      <c r="F102" s="9"/>
      <c r="G102" s="9"/>
      <c r="H102" s="126">
        <f>I102</f>
        <v>0</v>
      </c>
      <c r="I102" s="78"/>
      <c r="J102" s="78"/>
      <c r="K102" s="116" t="s">
        <v>76</v>
      </c>
      <c r="L102" s="107" t="s">
        <v>76</v>
      </c>
      <c r="M102" s="107" t="s">
        <v>76</v>
      </c>
      <c r="N102" s="107" t="s">
        <v>76</v>
      </c>
      <c r="O102" s="6" t="s">
        <v>76</v>
      </c>
    </row>
    <row r="103" spans="1:15" s="25" customFormat="1" ht="13.5">
      <c r="A103" s="530" t="s">
        <v>12</v>
      </c>
      <c r="B103" s="3"/>
      <c r="C103" s="27" t="s">
        <v>21</v>
      </c>
      <c r="D103" s="3" t="s">
        <v>89</v>
      </c>
      <c r="E103" s="3" t="s">
        <v>126</v>
      </c>
      <c r="F103" s="3" t="s">
        <v>116</v>
      </c>
      <c r="G103" s="3" t="s">
        <v>115</v>
      </c>
      <c r="H103" s="131">
        <f aca="true" t="shared" si="4" ref="H103:H118">K103</f>
        <v>683740</v>
      </c>
      <c r="I103" s="117" t="s">
        <v>76</v>
      </c>
      <c r="J103" s="110"/>
      <c r="K103" s="540">
        <f>676900-23560+30400</f>
        <v>683740</v>
      </c>
      <c r="L103" s="117" t="s">
        <v>76</v>
      </c>
      <c r="M103" s="117" t="s">
        <v>76</v>
      </c>
      <c r="N103" s="117" t="s">
        <v>76</v>
      </c>
      <c r="O103" s="6" t="s">
        <v>76</v>
      </c>
    </row>
    <row r="104" spans="1:15" s="25" customFormat="1" ht="18.75" customHeight="1" hidden="1">
      <c r="A104" s="687" t="s">
        <v>127</v>
      </c>
      <c r="B104" s="688"/>
      <c r="C104" s="27" t="s">
        <v>22</v>
      </c>
      <c r="D104" s="3"/>
      <c r="E104" s="3"/>
      <c r="F104" s="3"/>
      <c r="G104" s="3"/>
      <c r="H104" s="131">
        <f t="shared" si="4"/>
        <v>0</v>
      </c>
      <c r="I104" s="117"/>
      <c r="J104" s="110"/>
      <c r="K104" s="118">
        <f>K105</f>
        <v>0</v>
      </c>
      <c r="L104" s="117"/>
      <c r="M104" s="117"/>
      <c r="N104" s="117"/>
      <c r="O104" s="6"/>
    </row>
    <row r="105" spans="1:15" s="25" customFormat="1" ht="13.5" customHeight="1" hidden="1">
      <c r="A105" s="22" t="s">
        <v>12</v>
      </c>
      <c r="B105" s="40"/>
      <c r="C105" s="41" t="s">
        <v>22</v>
      </c>
      <c r="D105" s="9" t="s">
        <v>81</v>
      </c>
      <c r="E105" s="9" t="s">
        <v>108</v>
      </c>
      <c r="F105" s="9" t="s">
        <v>116</v>
      </c>
      <c r="G105" s="9" t="s">
        <v>115</v>
      </c>
      <c r="H105" s="126">
        <f t="shared" si="4"/>
        <v>0</v>
      </c>
      <c r="I105" s="107" t="s">
        <v>76</v>
      </c>
      <c r="J105" s="78"/>
      <c r="K105" s="116"/>
      <c r="L105" s="107"/>
      <c r="M105" s="107"/>
      <c r="N105" s="107" t="s">
        <v>76</v>
      </c>
      <c r="O105" s="6"/>
    </row>
    <row r="106" spans="1:15" s="25" customFormat="1" ht="28.5" customHeight="1">
      <c r="A106" s="39" t="s">
        <v>190</v>
      </c>
      <c r="B106" s="55"/>
      <c r="C106" s="27" t="s">
        <v>41</v>
      </c>
      <c r="D106" s="3"/>
      <c r="E106" s="3"/>
      <c r="F106" s="3"/>
      <c r="G106" s="3"/>
      <c r="H106" s="124">
        <f t="shared" si="4"/>
        <v>24000</v>
      </c>
      <c r="I106" s="119"/>
      <c r="J106" s="97"/>
      <c r="K106" s="120">
        <f>K107</f>
        <v>24000</v>
      </c>
      <c r="L106" s="117"/>
      <c r="M106" s="117"/>
      <c r="N106" s="117"/>
      <c r="O106" s="6"/>
    </row>
    <row r="107" spans="1:15" s="25" customFormat="1" ht="12.75">
      <c r="A107" s="22" t="s">
        <v>12</v>
      </c>
      <c r="B107" s="40"/>
      <c r="C107" s="9" t="s">
        <v>41</v>
      </c>
      <c r="D107" s="9" t="s">
        <v>81</v>
      </c>
      <c r="E107" s="9" t="s">
        <v>154</v>
      </c>
      <c r="F107" s="9" t="s">
        <v>116</v>
      </c>
      <c r="G107" s="9" t="s">
        <v>115</v>
      </c>
      <c r="H107" s="126">
        <f t="shared" si="4"/>
        <v>24000</v>
      </c>
      <c r="I107" s="107" t="s">
        <v>76</v>
      </c>
      <c r="J107" s="78"/>
      <c r="K107" s="116">
        <v>24000</v>
      </c>
      <c r="L107" s="107"/>
      <c r="M107" s="107"/>
      <c r="N107" s="107" t="s">
        <v>76</v>
      </c>
      <c r="O107" s="6"/>
    </row>
    <row r="108" spans="1:15" s="25" customFormat="1" ht="36" customHeight="1">
      <c r="A108" s="681" t="s">
        <v>374</v>
      </c>
      <c r="B108" s="683"/>
      <c r="C108" s="27" t="s">
        <v>373</v>
      </c>
      <c r="D108" s="3"/>
      <c r="E108" s="3"/>
      <c r="F108" s="3"/>
      <c r="G108" s="3"/>
      <c r="H108" s="435">
        <f t="shared" si="4"/>
        <v>60000</v>
      </c>
      <c r="I108" s="436" t="s">
        <v>76</v>
      </c>
      <c r="J108" s="437"/>
      <c r="K108" s="435">
        <f>SUM(K109:K112)</f>
        <v>60000</v>
      </c>
      <c r="L108" s="435">
        <f>SUM(L109:L112)</f>
        <v>0</v>
      </c>
      <c r="M108" s="435">
        <f>SUM(M109:M112)</f>
        <v>0</v>
      </c>
      <c r="N108" s="435"/>
      <c r="O108" s="6"/>
    </row>
    <row r="109" spans="1:15" s="25" customFormat="1" ht="12.75">
      <c r="A109" s="8" t="s">
        <v>335</v>
      </c>
      <c r="B109" s="40"/>
      <c r="C109" s="60" t="s">
        <v>373</v>
      </c>
      <c r="D109" s="434" t="s">
        <v>332</v>
      </c>
      <c r="E109" s="9" t="s">
        <v>108</v>
      </c>
      <c r="F109" s="9" t="s">
        <v>116</v>
      </c>
      <c r="G109" s="9" t="s">
        <v>115</v>
      </c>
      <c r="H109" s="433">
        <f t="shared" si="4"/>
        <v>43200</v>
      </c>
      <c r="I109" s="107"/>
      <c r="J109" s="78"/>
      <c r="K109" s="116">
        <v>43200</v>
      </c>
      <c r="L109" s="107"/>
      <c r="M109" s="107"/>
      <c r="N109" s="107"/>
      <c r="O109" s="6"/>
    </row>
    <row r="110" spans="1:15" s="25" customFormat="1" ht="12.75">
      <c r="A110" s="8" t="s">
        <v>336</v>
      </c>
      <c r="B110" s="40"/>
      <c r="C110" s="60" t="s">
        <v>373</v>
      </c>
      <c r="D110" s="434" t="s">
        <v>214</v>
      </c>
      <c r="E110" s="9" t="s">
        <v>108</v>
      </c>
      <c r="F110" s="9" t="s">
        <v>116</v>
      </c>
      <c r="G110" s="9" t="s">
        <v>115</v>
      </c>
      <c r="H110" s="433">
        <f t="shared" si="4"/>
        <v>4800</v>
      </c>
      <c r="I110" s="107"/>
      <c r="J110" s="78"/>
      <c r="K110" s="116">
        <v>4800</v>
      </c>
      <c r="L110" s="107"/>
      <c r="M110" s="107"/>
      <c r="N110" s="107"/>
      <c r="O110" s="6"/>
    </row>
    <row r="111" spans="1:15" s="25" customFormat="1" ht="12.75">
      <c r="A111" s="8" t="s">
        <v>336</v>
      </c>
      <c r="B111" s="40"/>
      <c r="C111" s="60" t="s">
        <v>373</v>
      </c>
      <c r="D111" s="434" t="s">
        <v>333</v>
      </c>
      <c r="E111" s="9" t="s">
        <v>108</v>
      </c>
      <c r="F111" s="9" t="s">
        <v>116</v>
      </c>
      <c r="G111" s="9" t="s">
        <v>115</v>
      </c>
      <c r="H111" s="433">
        <f t="shared" si="4"/>
        <v>10800</v>
      </c>
      <c r="I111" s="107"/>
      <c r="J111" s="78"/>
      <c r="K111" s="116">
        <v>10800</v>
      </c>
      <c r="L111" s="107"/>
      <c r="M111" s="107"/>
      <c r="N111" s="107"/>
      <c r="O111" s="6"/>
    </row>
    <row r="112" spans="1:15" s="25" customFormat="1" ht="12.75">
      <c r="A112" s="8" t="s">
        <v>337</v>
      </c>
      <c r="B112" s="40"/>
      <c r="C112" s="60" t="s">
        <v>373</v>
      </c>
      <c r="D112" s="434" t="s">
        <v>216</v>
      </c>
      <c r="E112" s="9" t="s">
        <v>108</v>
      </c>
      <c r="F112" s="9" t="s">
        <v>116</v>
      </c>
      <c r="G112" s="9" t="s">
        <v>115</v>
      </c>
      <c r="H112" s="433">
        <f t="shared" si="4"/>
        <v>1200</v>
      </c>
      <c r="I112" s="107"/>
      <c r="J112" s="78"/>
      <c r="K112" s="116">
        <v>1200</v>
      </c>
      <c r="L112" s="107"/>
      <c r="M112" s="107"/>
      <c r="N112" s="107"/>
      <c r="O112" s="6"/>
    </row>
    <row r="113" spans="1:15" s="25" customFormat="1" ht="41.25" customHeight="1">
      <c r="A113" s="681" t="s">
        <v>334</v>
      </c>
      <c r="B113" s="683"/>
      <c r="C113" s="27" t="s">
        <v>211</v>
      </c>
      <c r="D113" s="3"/>
      <c r="E113" s="3"/>
      <c r="F113" s="3"/>
      <c r="G113" s="3"/>
      <c r="H113" s="124">
        <f t="shared" si="4"/>
        <v>80000</v>
      </c>
      <c r="I113" s="117" t="s">
        <v>76</v>
      </c>
      <c r="J113" s="110"/>
      <c r="K113" s="97">
        <f>SUM(K114:K118)</f>
        <v>80000</v>
      </c>
      <c r="L113" s="117"/>
      <c r="M113" s="117"/>
      <c r="N113" s="117" t="s">
        <v>76</v>
      </c>
      <c r="O113" s="6"/>
    </row>
    <row r="114" spans="1:15" s="25" customFormat="1" ht="12.75">
      <c r="A114" s="22" t="s">
        <v>12</v>
      </c>
      <c r="B114" s="57"/>
      <c r="C114" s="9" t="s">
        <v>204</v>
      </c>
      <c r="D114" s="9" t="s">
        <v>81</v>
      </c>
      <c r="E114" s="9" t="s">
        <v>108</v>
      </c>
      <c r="F114" s="9" t="s">
        <v>116</v>
      </c>
      <c r="G114" s="9" t="s">
        <v>115</v>
      </c>
      <c r="H114" s="126">
        <f t="shared" si="4"/>
        <v>80000</v>
      </c>
      <c r="I114" s="107" t="s">
        <v>76</v>
      </c>
      <c r="J114" s="107"/>
      <c r="K114" s="116">
        <v>80000</v>
      </c>
      <c r="L114" s="107"/>
      <c r="M114" s="107"/>
      <c r="N114" s="107" t="s">
        <v>76</v>
      </c>
      <c r="O114" s="6"/>
    </row>
    <row r="115" spans="1:15" s="25" customFormat="1" ht="12.75">
      <c r="A115" s="8" t="s">
        <v>335</v>
      </c>
      <c r="B115" s="9"/>
      <c r="C115" s="9" t="s">
        <v>211</v>
      </c>
      <c r="D115" s="393" t="s">
        <v>332</v>
      </c>
      <c r="E115" s="9" t="s">
        <v>108</v>
      </c>
      <c r="F115" s="9" t="s">
        <v>116</v>
      </c>
      <c r="G115" s="9" t="s">
        <v>115</v>
      </c>
      <c r="H115" s="126">
        <f t="shared" si="4"/>
        <v>0</v>
      </c>
      <c r="I115" s="107" t="s">
        <v>76</v>
      </c>
      <c r="J115" s="78"/>
      <c r="K115" s="109"/>
      <c r="L115" s="107"/>
      <c r="M115" s="107"/>
      <c r="N115" s="107" t="s">
        <v>76</v>
      </c>
      <c r="O115" s="64" t="s">
        <v>76</v>
      </c>
    </row>
    <row r="116" spans="1:15" s="25" customFormat="1" ht="12.75">
      <c r="A116" s="8" t="s">
        <v>336</v>
      </c>
      <c r="B116" s="9"/>
      <c r="C116" s="9" t="s">
        <v>211</v>
      </c>
      <c r="D116" s="393" t="s">
        <v>214</v>
      </c>
      <c r="E116" s="9" t="s">
        <v>108</v>
      </c>
      <c r="F116" s="9" t="s">
        <v>116</v>
      </c>
      <c r="G116" s="9" t="s">
        <v>115</v>
      </c>
      <c r="H116" s="126">
        <f t="shared" si="4"/>
        <v>0</v>
      </c>
      <c r="I116" s="107" t="s">
        <v>76</v>
      </c>
      <c r="J116" s="78"/>
      <c r="K116" s="78"/>
      <c r="L116" s="107"/>
      <c r="M116" s="107"/>
      <c r="N116" s="107" t="s">
        <v>76</v>
      </c>
      <c r="O116" s="6"/>
    </row>
    <row r="117" spans="1:15" s="25" customFormat="1" ht="12.75">
      <c r="A117" s="8" t="s">
        <v>336</v>
      </c>
      <c r="B117" s="9"/>
      <c r="C117" s="9" t="s">
        <v>211</v>
      </c>
      <c r="D117" s="393" t="s">
        <v>333</v>
      </c>
      <c r="E117" s="9" t="s">
        <v>108</v>
      </c>
      <c r="F117" s="9" t="s">
        <v>116</v>
      </c>
      <c r="G117" s="9" t="s">
        <v>115</v>
      </c>
      <c r="H117" s="126">
        <f t="shared" si="4"/>
        <v>0</v>
      </c>
      <c r="I117" s="107" t="s">
        <v>76</v>
      </c>
      <c r="J117" s="78"/>
      <c r="K117" s="78"/>
      <c r="L117" s="107"/>
      <c r="M117" s="107"/>
      <c r="N117" s="107" t="s">
        <v>76</v>
      </c>
      <c r="O117" s="6"/>
    </row>
    <row r="118" spans="1:15" s="25" customFormat="1" ht="12.75">
      <c r="A118" s="8" t="s">
        <v>337</v>
      </c>
      <c r="B118" s="9"/>
      <c r="C118" s="9" t="s">
        <v>211</v>
      </c>
      <c r="D118" s="393" t="s">
        <v>216</v>
      </c>
      <c r="E118" s="9" t="s">
        <v>108</v>
      </c>
      <c r="F118" s="9" t="s">
        <v>116</v>
      </c>
      <c r="G118" s="9" t="s">
        <v>115</v>
      </c>
      <c r="H118" s="126">
        <f t="shared" si="4"/>
        <v>0</v>
      </c>
      <c r="I118" s="107" t="s">
        <v>76</v>
      </c>
      <c r="J118" s="78"/>
      <c r="K118" s="78"/>
      <c r="L118" s="107"/>
      <c r="M118" s="107"/>
      <c r="N118" s="107" t="s">
        <v>76</v>
      </c>
      <c r="O118" s="6"/>
    </row>
    <row r="119" spans="1:15" s="25" customFormat="1" ht="41.25" customHeight="1">
      <c r="A119" s="681" t="s">
        <v>360</v>
      </c>
      <c r="B119" s="683"/>
      <c r="C119" s="27" t="s">
        <v>51</v>
      </c>
      <c r="D119" s="43"/>
      <c r="E119" s="42"/>
      <c r="F119" s="42"/>
      <c r="G119" s="42"/>
      <c r="H119" s="124"/>
      <c r="I119" s="119"/>
      <c r="J119" s="97"/>
      <c r="K119" s="120">
        <f>SUM(K121:K129)</f>
        <v>411025.7</v>
      </c>
      <c r="L119" s="119"/>
      <c r="M119" s="119"/>
      <c r="N119" s="119"/>
      <c r="O119" s="6"/>
    </row>
    <row r="120" spans="1:15" s="25" customFormat="1" ht="12.75" hidden="1">
      <c r="A120" s="61" t="s">
        <v>11</v>
      </c>
      <c r="B120" s="59"/>
      <c r="C120" s="59" t="s">
        <v>51</v>
      </c>
      <c r="D120" s="59" t="s">
        <v>81</v>
      </c>
      <c r="E120" s="59" t="s">
        <v>218</v>
      </c>
      <c r="F120" s="59" t="s">
        <v>121</v>
      </c>
      <c r="G120" s="59" t="s">
        <v>115</v>
      </c>
      <c r="H120" s="127">
        <f aca="true" t="shared" si="5" ref="H120:H129">K120</f>
        <v>0</v>
      </c>
      <c r="I120" s="101" t="s">
        <v>76</v>
      </c>
      <c r="J120" s="102"/>
      <c r="K120" s="104"/>
      <c r="L120" s="102"/>
      <c r="M120" s="100"/>
      <c r="N120" s="101" t="s">
        <v>76</v>
      </c>
      <c r="O120" s="6"/>
    </row>
    <row r="121" spans="1:15" s="25" customFormat="1" ht="12.75">
      <c r="A121" s="684" t="s">
        <v>12</v>
      </c>
      <c r="B121" s="9"/>
      <c r="C121" s="678" t="s">
        <v>51</v>
      </c>
      <c r="D121" s="9" t="s">
        <v>81</v>
      </c>
      <c r="E121" s="678" t="s">
        <v>218</v>
      </c>
      <c r="F121" s="678" t="s">
        <v>116</v>
      </c>
      <c r="G121" s="678" t="s">
        <v>115</v>
      </c>
      <c r="H121" s="126">
        <f t="shared" si="5"/>
        <v>201123.7</v>
      </c>
      <c r="I121" s="107" t="s">
        <v>76</v>
      </c>
      <c r="J121" s="107"/>
      <c r="K121" s="116">
        <f>195152.7+2985.5+2985.5</f>
        <v>201123.7</v>
      </c>
      <c r="L121" s="107"/>
      <c r="M121" s="107"/>
      <c r="N121" s="107" t="s">
        <v>76</v>
      </c>
      <c r="O121" s="6"/>
    </row>
    <row r="122" spans="1:15" s="25" customFormat="1" ht="12.75">
      <c r="A122" s="685"/>
      <c r="B122" s="9"/>
      <c r="C122" s="679"/>
      <c r="D122" s="9" t="s">
        <v>219</v>
      </c>
      <c r="E122" s="679"/>
      <c r="F122" s="679"/>
      <c r="G122" s="679"/>
      <c r="H122" s="126">
        <f t="shared" si="5"/>
        <v>188911.8</v>
      </c>
      <c r="I122" s="107" t="s">
        <v>76</v>
      </c>
      <c r="J122" s="107"/>
      <c r="K122" s="116">
        <f>148024.8+20443.5+20443.5</f>
        <v>188911.8</v>
      </c>
      <c r="L122" s="107"/>
      <c r="M122" s="107"/>
      <c r="N122" s="107" t="s">
        <v>76</v>
      </c>
      <c r="O122" s="6"/>
    </row>
    <row r="123" spans="1:15" s="25" customFormat="1" ht="12.75">
      <c r="A123" s="686"/>
      <c r="B123" s="9"/>
      <c r="C123" s="680"/>
      <c r="D123" s="9" t="s">
        <v>196</v>
      </c>
      <c r="E123" s="680"/>
      <c r="F123" s="680"/>
      <c r="G123" s="680"/>
      <c r="H123" s="126">
        <f t="shared" si="5"/>
        <v>12136.6</v>
      </c>
      <c r="I123" s="107"/>
      <c r="J123" s="107"/>
      <c r="K123" s="116">
        <f>7593.6+2271.5+2271.5</f>
        <v>12136.6</v>
      </c>
      <c r="L123" s="107"/>
      <c r="M123" s="107"/>
      <c r="N123" s="107" t="s">
        <v>76</v>
      </c>
      <c r="O123" s="6"/>
    </row>
    <row r="124" spans="1:15" s="25" customFormat="1" ht="12.75">
      <c r="A124" s="431" t="s">
        <v>362</v>
      </c>
      <c r="B124" s="9"/>
      <c r="C124" s="9" t="s">
        <v>51</v>
      </c>
      <c r="D124" s="9" t="s">
        <v>196</v>
      </c>
      <c r="E124" s="9" t="s">
        <v>218</v>
      </c>
      <c r="F124" s="9" t="s">
        <v>361</v>
      </c>
      <c r="G124" s="9" t="s">
        <v>115</v>
      </c>
      <c r="H124" s="126">
        <f t="shared" si="5"/>
        <v>2272.2</v>
      </c>
      <c r="I124" s="107"/>
      <c r="J124" s="107"/>
      <c r="K124" s="116">
        <v>2272.2</v>
      </c>
      <c r="L124" s="107"/>
      <c r="M124" s="107"/>
      <c r="N124" s="107" t="s">
        <v>76</v>
      </c>
      <c r="O124" s="6"/>
    </row>
    <row r="125" spans="1:15" s="25" customFormat="1" ht="39.75" customHeight="1">
      <c r="A125" s="431" t="s">
        <v>363</v>
      </c>
      <c r="B125" s="9"/>
      <c r="C125" s="9" t="s">
        <v>51</v>
      </c>
      <c r="D125" s="9" t="s">
        <v>196</v>
      </c>
      <c r="E125" s="9" t="s">
        <v>218</v>
      </c>
      <c r="F125" s="9" t="s">
        <v>240</v>
      </c>
      <c r="G125" s="9" t="s">
        <v>115</v>
      </c>
      <c r="H125" s="126">
        <f t="shared" si="5"/>
        <v>2625</v>
      </c>
      <c r="I125" s="107"/>
      <c r="J125" s="107"/>
      <c r="K125" s="116">
        <v>2625</v>
      </c>
      <c r="L125" s="107"/>
      <c r="M125" s="107"/>
      <c r="N125" s="107" t="s">
        <v>76</v>
      </c>
      <c r="O125" s="6"/>
    </row>
    <row r="126" spans="1:15" s="25" customFormat="1" ht="28.5" customHeight="1">
      <c r="A126" s="431" t="s">
        <v>364</v>
      </c>
      <c r="B126" s="9"/>
      <c r="C126" s="9" t="s">
        <v>51</v>
      </c>
      <c r="D126" s="9" t="s">
        <v>196</v>
      </c>
      <c r="E126" s="9" t="s">
        <v>218</v>
      </c>
      <c r="F126" s="9" t="s">
        <v>242</v>
      </c>
      <c r="G126" s="9" t="s">
        <v>115</v>
      </c>
      <c r="H126" s="126">
        <f t="shared" si="5"/>
        <v>3956.4</v>
      </c>
      <c r="I126" s="107"/>
      <c r="J126" s="107"/>
      <c r="K126" s="116">
        <v>3956.4</v>
      </c>
      <c r="L126" s="107"/>
      <c r="M126" s="107"/>
      <c r="N126" s="107" t="s">
        <v>76</v>
      </c>
      <c r="O126" s="6"/>
    </row>
    <row r="127" spans="1:15" s="25" customFormat="1" ht="12.75" hidden="1">
      <c r="A127" s="22" t="s">
        <v>359</v>
      </c>
      <c r="B127" s="9"/>
      <c r="C127" s="9" t="s">
        <v>51</v>
      </c>
      <c r="D127" s="9" t="s">
        <v>81</v>
      </c>
      <c r="E127" s="9" t="s">
        <v>218</v>
      </c>
      <c r="F127" s="9" t="s">
        <v>118</v>
      </c>
      <c r="G127" s="9" t="s">
        <v>115</v>
      </c>
      <c r="H127" s="126">
        <f t="shared" si="5"/>
        <v>0</v>
      </c>
      <c r="I127" s="107" t="s">
        <v>76</v>
      </c>
      <c r="J127" s="107"/>
      <c r="K127" s="116"/>
      <c r="L127" s="101"/>
      <c r="M127" s="101"/>
      <c r="N127" s="101" t="s">
        <v>76</v>
      </c>
      <c r="O127" s="6"/>
    </row>
    <row r="128" spans="1:15" s="25" customFormat="1" ht="12.75" hidden="1">
      <c r="A128" s="684" t="s">
        <v>221</v>
      </c>
      <c r="B128" s="9"/>
      <c r="C128" s="678" t="s">
        <v>51</v>
      </c>
      <c r="D128" s="9" t="s">
        <v>81</v>
      </c>
      <c r="E128" s="678" t="s">
        <v>218</v>
      </c>
      <c r="F128" s="678" t="s">
        <v>119</v>
      </c>
      <c r="G128" s="678" t="s">
        <v>115</v>
      </c>
      <c r="H128" s="126">
        <f t="shared" si="5"/>
        <v>0</v>
      </c>
      <c r="I128" s="107" t="s">
        <v>76</v>
      </c>
      <c r="J128" s="107"/>
      <c r="K128" s="116"/>
      <c r="L128" s="101"/>
      <c r="M128" s="101"/>
      <c r="N128" s="101" t="s">
        <v>76</v>
      </c>
      <c r="O128" s="6"/>
    </row>
    <row r="129" spans="1:15" s="25" customFormat="1" ht="12.75" hidden="1">
      <c r="A129" s="686"/>
      <c r="B129" s="9"/>
      <c r="C129" s="680"/>
      <c r="D129" s="9" t="s">
        <v>196</v>
      </c>
      <c r="E129" s="680"/>
      <c r="F129" s="680"/>
      <c r="G129" s="680"/>
      <c r="H129" s="126">
        <f t="shared" si="5"/>
        <v>0</v>
      </c>
      <c r="I129" s="107" t="s">
        <v>76</v>
      </c>
      <c r="J129" s="107"/>
      <c r="K129" s="116"/>
      <c r="L129" s="101"/>
      <c r="M129" s="101"/>
      <c r="N129" s="101" t="s">
        <v>76</v>
      </c>
      <c r="O129" s="6"/>
    </row>
    <row r="130" spans="1:15" s="25" customFormat="1" ht="15" customHeight="1">
      <c r="A130" s="681" t="s">
        <v>210</v>
      </c>
      <c r="B130" s="683"/>
      <c r="C130" s="27" t="s">
        <v>163</v>
      </c>
      <c r="D130" s="44"/>
      <c r="E130" s="3"/>
      <c r="F130" s="3"/>
      <c r="G130" s="3"/>
      <c r="H130" s="131"/>
      <c r="I130" s="117"/>
      <c r="J130" s="110"/>
      <c r="K130" s="120">
        <f>K131+K132</f>
        <v>950000</v>
      </c>
      <c r="L130" s="117"/>
      <c r="M130" s="117"/>
      <c r="N130" s="117"/>
      <c r="O130" s="6"/>
    </row>
    <row r="131" spans="1:15" s="25" customFormat="1" ht="15.75" customHeight="1">
      <c r="A131" s="22" t="s">
        <v>11</v>
      </c>
      <c r="B131" s="40"/>
      <c r="C131" s="41" t="s">
        <v>163</v>
      </c>
      <c r="D131" s="6" t="s">
        <v>162</v>
      </c>
      <c r="E131" s="9" t="s">
        <v>157</v>
      </c>
      <c r="F131" s="46">
        <v>225</v>
      </c>
      <c r="G131" s="9" t="s">
        <v>115</v>
      </c>
      <c r="H131" s="129" t="s">
        <v>76</v>
      </c>
      <c r="I131" s="107" t="s">
        <v>76</v>
      </c>
      <c r="J131" s="78"/>
      <c r="K131" s="116">
        <v>950000</v>
      </c>
      <c r="L131" s="107"/>
      <c r="M131" s="107"/>
      <c r="N131" s="107" t="s">
        <v>76</v>
      </c>
      <c r="O131" s="6"/>
    </row>
    <row r="132" spans="1:15" s="25" customFormat="1" ht="13.5" hidden="1">
      <c r="A132" s="47" t="s">
        <v>14</v>
      </c>
      <c r="B132" s="40"/>
      <c r="C132" s="41" t="s">
        <v>163</v>
      </c>
      <c r="D132" s="6" t="s">
        <v>162</v>
      </c>
      <c r="E132" s="9" t="s">
        <v>157</v>
      </c>
      <c r="F132" s="9" t="s">
        <v>118</v>
      </c>
      <c r="G132" s="9" t="s">
        <v>115</v>
      </c>
      <c r="H132" s="126"/>
      <c r="I132" s="107"/>
      <c r="J132" s="78"/>
      <c r="K132" s="116"/>
      <c r="L132" s="107"/>
      <c r="M132" s="107"/>
      <c r="N132" s="107"/>
      <c r="O132" s="6"/>
    </row>
    <row r="133" spans="1:15" s="25" customFormat="1" ht="15" customHeight="1" hidden="1">
      <c r="A133" s="681" t="s">
        <v>177</v>
      </c>
      <c r="B133" s="683"/>
      <c r="C133" s="27" t="s">
        <v>23</v>
      </c>
      <c r="D133" s="44"/>
      <c r="E133" s="3"/>
      <c r="F133" s="3"/>
      <c r="G133" s="3"/>
      <c r="H133" s="131"/>
      <c r="I133" s="117"/>
      <c r="J133" s="110"/>
      <c r="K133" s="118">
        <f>K134</f>
        <v>0</v>
      </c>
      <c r="L133" s="117"/>
      <c r="M133" s="117"/>
      <c r="N133" s="117"/>
      <c r="O133" s="6"/>
    </row>
    <row r="134" spans="1:15" s="25" customFormat="1" ht="15" customHeight="1" hidden="1">
      <c r="A134" s="22" t="s">
        <v>178</v>
      </c>
      <c r="B134" s="9"/>
      <c r="C134" s="9" t="s">
        <v>23</v>
      </c>
      <c r="D134" s="9" t="s">
        <v>81</v>
      </c>
      <c r="E134" s="9" t="s">
        <v>108</v>
      </c>
      <c r="F134" s="9" t="s">
        <v>116</v>
      </c>
      <c r="G134" s="9" t="s">
        <v>115</v>
      </c>
      <c r="H134" s="126"/>
      <c r="I134" s="107"/>
      <c r="J134" s="78"/>
      <c r="K134" s="116"/>
      <c r="L134" s="107"/>
      <c r="M134" s="107"/>
      <c r="N134" s="107"/>
      <c r="O134" s="6"/>
    </row>
    <row r="135" spans="1:15" s="25" customFormat="1" ht="29.25" customHeight="1" hidden="1">
      <c r="A135" s="681" t="s">
        <v>191</v>
      </c>
      <c r="B135" s="683"/>
      <c r="C135" s="27" t="s">
        <v>192</v>
      </c>
      <c r="D135" s="3"/>
      <c r="E135" s="3"/>
      <c r="F135" s="3"/>
      <c r="G135" s="3"/>
      <c r="H135" s="124">
        <f aca="true" t="shared" si="6" ref="H135:H143">K135</f>
        <v>0</v>
      </c>
      <c r="I135" s="119"/>
      <c r="J135" s="97"/>
      <c r="K135" s="97">
        <f>K136+K137</f>
        <v>0</v>
      </c>
      <c r="L135" s="117"/>
      <c r="M135" s="117"/>
      <c r="N135" s="117"/>
      <c r="O135" s="6"/>
    </row>
    <row r="136" spans="1:15" s="25" customFormat="1" ht="16.5" customHeight="1" hidden="1">
      <c r="A136" s="61" t="s">
        <v>195</v>
      </c>
      <c r="B136" s="67"/>
      <c r="C136" s="59" t="s">
        <v>192</v>
      </c>
      <c r="D136" s="59" t="s">
        <v>193</v>
      </c>
      <c r="E136" s="59" t="s">
        <v>108</v>
      </c>
      <c r="F136" s="59" t="s">
        <v>121</v>
      </c>
      <c r="G136" s="59" t="s">
        <v>194</v>
      </c>
      <c r="H136" s="127">
        <f t="shared" si="6"/>
        <v>0</v>
      </c>
      <c r="I136" s="101" t="s">
        <v>76</v>
      </c>
      <c r="J136" s="100"/>
      <c r="K136" s="104"/>
      <c r="L136" s="101"/>
      <c r="M136" s="101"/>
      <c r="N136" s="101" t="s">
        <v>76</v>
      </c>
      <c r="O136" s="6"/>
    </row>
    <row r="137" spans="1:15" s="25" customFormat="1" ht="16.5" customHeight="1" hidden="1">
      <c r="A137" s="61" t="s">
        <v>195</v>
      </c>
      <c r="B137" s="68"/>
      <c r="C137" s="59" t="s">
        <v>192</v>
      </c>
      <c r="D137" s="59" t="s">
        <v>196</v>
      </c>
      <c r="E137" s="59" t="s">
        <v>108</v>
      </c>
      <c r="F137" s="59" t="s">
        <v>121</v>
      </c>
      <c r="G137" s="59" t="s">
        <v>194</v>
      </c>
      <c r="H137" s="127">
        <f t="shared" si="6"/>
        <v>0</v>
      </c>
      <c r="I137" s="101" t="s">
        <v>76</v>
      </c>
      <c r="J137" s="100"/>
      <c r="K137" s="104"/>
      <c r="L137" s="101"/>
      <c r="M137" s="101"/>
      <c r="N137" s="101" t="s">
        <v>76</v>
      </c>
      <c r="O137" s="6"/>
    </row>
    <row r="138" spans="1:15" s="25" customFormat="1" ht="16.5" customHeight="1">
      <c r="A138" s="39" t="s">
        <v>222</v>
      </c>
      <c r="B138" s="38"/>
      <c r="C138" s="27" t="s">
        <v>203</v>
      </c>
      <c r="D138" s="3"/>
      <c r="E138" s="3"/>
      <c r="F138" s="3"/>
      <c r="G138" s="3"/>
      <c r="H138" s="124">
        <f t="shared" si="6"/>
        <v>10000</v>
      </c>
      <c r="I138" s="117" t="s">
        <v>76</v>
      </c>
      <c r="J138" s="110"/>
      <c r="K138" s="120">
        <f>K139</f>
        <v>10000</v>
      </c>
      <c r="L138" s="117"/>
      <c r="M138" s="117"/>
      <c r="N138" s="117" t="s">
        <v>76</v>
      </c>
      <c r="O138" s="6"/>
    </row>
    <row r="139" spans="1:15" s="25" customFormat="1" ht="24" customHeight="1">
      <c r="A139" s="22" t="s">
        <v>236</v>
      </c>
      <c r="B139" s="40"/>
      <c r="C139" s="9" t="s">
        <v>203</v>
      </c>
      <c r="D139" s="9" t="s">
        <v>81</v>
      </c>
      <c r="E139" s="9" t="s">
        <v>108</v>
      </c>
      <c r="F139" s="9" t="s">
        <v>205</v>
      </c>
      <c r="G139" s="9" t="s">
        <v>123</v>
      </c>
      <c r="H139" s="126">
        <f t="shared" si="6"/>
        <v>10000</v>
      </c>
      <c r="I139" s="107" t="s">
        <v>76</v>
      </c>
      <c r="J139" s="78"/>
      <c r="K139" s="121">
        <v>10000</v>
      </c>
      <c r="L139" s="107"/>
      <c r="M139" s="107"/>
      <c r="N139" s="107" t="s">
        <v>76</v>
      </c>
      <c r="O139" s="6"/>
    </row>
    <row r="140" spans="1:15" s="25" customFormat="1" ht="12.75">
      <c r="A140" s="75" t="s">
        <v>226</v>
      </c>
      <c r="B140" s="58"/>
      <c r="C140" s="42" t="s">
        <v>23</v>
      </c>
      <c r="D140" s="42"/>
      <c r="E140" s="42"/>
      <c r="F140" s="42"/>
      <c r="G140" s="42"/>
      <c r="H140" s="125">
        <f t="shared" si="6"/>
        <v>90100</v>
      </c>
      <c r="I140" s="119"/>
      <c r="J140" s="98"/>
      <c r="K140" s="97">
        <f>K141</f>
        <v>90100</v>
      </c>
      <c r="L140" s="119"/>
      <c r="M140" s="119"/>
      <c r="N140" s="119"/>
      <c r="O140" s="6"/>
    </row>
    <row r="141" spans="1:15" s="25" customFormat="1" ht="12.75">
      <c r="A141" s="76" t="s">
        <v>227</v>
      </c>
      <c r="B141" s="57"/>
      <c r="C141" s="9" t="s">
        <v>23</v>
      </c>
      <c r="D141" s="9" t="s">
        <v>228</v>
      </c>
      <c r="E141" s="9" t="s">
        <v>157</v>
      </c>
      <c r="F141" s="9" t="s">
        <v>116</v>
      </c>
      <c r="G141" s="9" t="s">
        <v>115</v>
      </c>
      <c r="H141" s="129">
        <f t="shared" si="6"/>
        <v>90100</v>
      </c>
      <c r="I141" s="107"/>
      <c r="J141" s="26"/>
      <c r="K141" s="78">
        <v>90100</v>
      </c>
      <c r="L141" s="107"/>
      <c r="M141" s="107"/>
      <c r="N141" s="107"/>
      <c r="O141" s="6"/>
    </row>
    <row r="142" spans="1:15" s="25" customFormat="1" ht="12.75" hidden="1">
      <c r="A142" s="77" t="s">
        <v>231</v>
      </c>
      <c r="B142" s="58"/>
      <c r="C142" s="87" t="s">
        <v>230</v>
      </c>
      <c r="D142" s="53"/>
      <c r="E142" s="53"/>
      <c r="F142" s="53"/>
      <c r="G142" s="53"/>
      <c r="H142" s="124">
        <f t="shared" si="6"/>
        <v>0</v>
      </c>
      <c r="I142" s="119"/>
      <c r="J142" s="97"/>
      <c r="K142" s="98">
        <f>K143</f>
        <v>0</v>
      </c>
      <c r="L142" s="119"/>
      <c r="M142" s="119"/>
      <c r="N142" s="119"/>
      <c r="O142" s="6"/>
    </row>
    <row r="143" spans="1:15" s="25" customFormat="1" ht="12.75" hidden="1">
      <c r="A143" s="22" t="s">
        <v>227</v>
      </c>
      <c r="B143" s="57"/>
      <c r="C143" s="9" t="s">
        <v>230</v>
      </c>
      <c r="D143" s="9" t="s">
        <v>81</v>
      </c>
      <c r="E143" s="9" t="s">
        <v>232</v>
      </c>
      <c r="F143" s="9" t="s">
        <v>116</v>
      </c>
      <c r="G143" s="9" t="s">
        <v>115</v>
      </c>
      <c r="H143" s="126">
        <f t="shared" si="6"/>
        <v>0</v>
      </c>
      <c r="I143" s="107"/>
      <c r="J143" s="78"/>
      <c r="K143" s="26"/>
      <c r="L143" s="107"/>
      <c r="M143" s="107"/>
      <c r="N143" s="107"/>
      <c r="O143" s="6"/>
    </row>
    <row r="144" spans="1:15" s="25" customFormat="1" ht="29.25" customHeight="1">
      <c r="A144" s="681" t="s">
        <v>224</v>
      </c>
      <c r="B144" s="682"/>
      <c r="C144" s="27" t="s">
        <v>80</v>
      </c>
      <c r="D144" s="3"/>
      <c r="E144" s="3"/>
      <c r="F144" s="3"/>
      <c r="G144" s="3"/>
      <c r="H144" s="124">
        <f aca="true" t="shared" si="7" ref="H144:H155">N144</f>
        <v>102004.12000000001</v>
      </c>
      <c r="I144" s="119"/>
      <c r="J144" s="119"/>
      <c r="K144" s="119"/>
      <c r="L144" s="119"/>
      <c r="M144" s="119"/>
      <c r="N144" s="97">
        <f>SUM(N145:N155)</f>
        <v>102004.12000000001</v>
      </c>
      <c r="O144" s="6"/>
    </row>
    <row r="145" spans="1:15" s="25" customFormat="1" ht="13.5" customHeight="1" hidden="1">
      <c r="A145" s="45" t="s">
        <v>8</v>
      </c>
      <c r="B145" s="8"/>
      <c r="C145" s="9" t="s">
        <v>80</v>
      </c>
      <c r="D145" s="9" t="s">
        <v>81</v>
      </c>
      <c r="E145" s="9" t="s">
        <v>108</v>
      </c>
      <c r="F145" s="9" t="s">
        <v>128</v>
      </c>
      <c r="G145" s="9" t="s">
        <v>115</v>
      </c>
      <c r="H145" s="126">
        <f t="shared" si="7"/>
        <v>0</v>
      </c>
      <c r="I145" s="107" t="s">
        <v>76</v>
      </c>
      <c r="J145" s="107" t="s">
        <v>76</v>
      </c>
      <c r="K145" s="107" t="s">
        <v>76</v>
      </c>
      <c r="L145" s="107" t="s">
        <v>76</v>
      </c>
      <c r="M145" s="107"/>
      <c r="N145" s="122"/>
      <c r="O145" s="6"/>
    </row>
    <row r="146" spans="1:15" s="25" customFormat="1" ht="13.5" customHeight="1" hidden="1">
      <c r="A146" s="22" t="s">
        <v>11</v>
      </c>
      <c r="B146" s="9"/>
      <c r="C146" s="9" t="s">
        <v>80</v>
      </c>
      <c r="D146" s="9" t="s">
        <v>81</v>
      </c>
      <c r="E146" s="9" t="s">
        <v>108</v>
      </c>
      <c r="F146" s="9" t="s">
        <v>121</v>
      </c>
      <c r="G146" s="9" t="s">
        <v>115</v>
      </c>
      <c r="H146" s="126">
        <f t="shared" si="7"/>
        <v>0</v>
      </c>
      <c r="I146" s="107" t="s">
        <v>76</v>
      </c>
      <c r="J146" s="107" t="s">
        <v>76</v>
      </c>
      <c r="K146" s="107" t="s">
        <v>76</v>
      </c>
      <c r="L146" s="107" t="s">
        <v>76</v>
      </c>
      <c r="M146" s="107"/>
      <c r="N146" s="122"/>
      <c r="O146" s="6"/>
    </row>
    <row r="147" spans="1:15" s="25" customFormat="1" ht="13.5" customHeight="1">
      <c r="A147" s="22" t="s">
        <v>11</v>
      </c>
      <c r="B147" s="9"/>
      <c r="C147" s="9" t="s">
        <v>80</v>
      </c>
      <c r="D147" s="9" t="s">
        <v>81</v>
      </c>
      <c r="E147" s="9" t="s">
        <v>218</v>
      </c>
      <c r="F147" s="9" t="s">
        <v>121</v>
      </c>
      <c r="G147" s="9" t="s">
        <v>115</v>
      </c>
      <c r="H147" s="126">
        <f t="shared" si="7"/>
        <v>2815.2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 t="s">
        <v>76</v>
      </c>
      <c r="N147" s="78">
        <v>2815.2</v>
      </c>
      <c r="O147" s="6"/>
    </row>
    <row r="148" spans="1:15" s="25" customFormat="1" ht="13.5" customHeight="1">
      <c r="A148" s="22" t="s">
        <v>12</v>
      </c>
      <c r="B148" s="9"/>
      <c r="C148" s="9" t="s">
        <v>80</v>
      </c>
      <c r="D148" s="9" t="s">
        <v>81</v>
      </c>
      <c r="E148" s="9" t="s">
        <v>218</v>
      </c>
      <c r="F148" s="9" t="s">
        <v>116</v>
      </c>
      <c r="G148" s="9" t="s">
        <v>115</v>
      </c>
      <c r="H148" s="126">
        <f t="shared" si="7"/>
        <v>13427.57</v>
      </c>
      <c r="I148" s="107" t="s">
        <v>76</v>
      </c>
      <c r="J148" s="107"/>
      <c r="K148" s="107" t="s">
        <v>76</v>
      </c>
      <c r="L148" s="107" t="s">
        <v>76</v>
      </c>
      <c r="M148" s="107"/>
      <c r="N148" s="433">
        <v>13427.57</v>
      </c>
      <c r="O148" s="6"/>
    </row>
    <row r="149" spans="1:15" s="25" customFormat="1" ht="13.5" customHeight="1">
      <c r="A149" s="22" t="s">
        <v>362</v>
      </c>
      <c r="B149" s="9"/>
      <c r="C149" s="9" t="s">
        <v>80</v>
      </c>
      <c r="D149" s="9" t="s">
        <v>81</v>
      </c>
      <c r="E149" s="9" t="s">
        <v>218</v>
      </c>
      <c r="F149" s="9" t="s">
        <v>361</v>
      </c>
      <c r="G149" s="9" t="s">
        <v>115</v>
      </c>
      <c r="H149" s="126">
        <f t="shared" si="7"/>
        <v>3408.3</v>
      </c>
      <c r="I149" s="107"/>
      <c r="J149" s="107"/>
      <c r="K149" s="107"/>
      <c r="L149" s="107"/>
      <c r="M149" s="107"/>
      <c r="N149" s="433">
        <v>3408.3</v>
      </c>
      <c r="O149" s="6"/>
    </row>
    <row r="150" spans="1:15" s="25" customFormat="1" ht="13.5" customHeight="1">
      <c r="A150" s="22" t="s">
        <v>12</v>
      </c>
      <c r="B150" s="9"/>
      <c r="C150" s="9" t="s">
        <v>80</v>
      </c>
      <c r="D150" s="9" t="s">
        <v>81</v>
      </c>
      <c r="E150" s="9" t="s">
        <v>108</v>
      </c>
      <c r="F150" s="9" t="s">
        <v>116</v>
      </c>
      <c r="G150" s="9" t="s">
        <v>115</v>
      </c>
      <c r="H150" s="126">
        <f t="shared" si="7"/>
        <v>30000</v>
      </c>
      <c r="I150" s="107" t="s">
        <v>76</v>
      </c>
      <c r="J150" s="107" t="s">
        <v>76</v>
      </c>
      <c r="K150" s="107" t="s">
        <v>76</v>
      </c>
      <c r="L150" s="107" t="s">
        <v>76</v>
      </c>
      <c r="M150" s="107" t="s">
        <v>76</v>
      </c>
      <c r="N150" s="78">
        <v>30000</v>
      </c>
      <c r="O150" s="6"/>
    </row>
    <row r="151" spans="1:15" s="25" customFormat="1" ht="13.5" customHeight="1">
      <c r="A151" s="22" t="s">
        <v>14</v>
      </c>
      <c r="B151" s="9"/>
      <c r="C151" s="9" t="s">
        <v>80</v>
      </c>
      <c r="D151" s="9" t="s">
        <v>81</v>
      </c>
      <c r="E151" s="9" t="s">
        <v>108</v>
      </c>
      <c r="F151" s="9" t="s">
        <v>118</v>
      </c>
      <c r="G151" s="9" t="s">
        <v>115</v>
      </c>
      <c r="H151" s="126">
        <f t="shared" si="7"/>
        <v>35000</v>
      </c>
      <c r="I151" s="107" t="s">
        <v>76</v>
      </c>
      <c r="J151" s="107" t="s">
        <v>76</v>
      </c>
      <c r="K151" s="107" t="s">
        <v>76</v>
      </c>
      <c r="L151" s="107" t="s">
        <v>76</v>
      </c>
      <c r="M151" s="107"/>
      <c r="N151" s="122">
        <v>35000</v>
      </c>
      <c r="O151" s="6"/>
    </row>
    <row r="152" spans="1:15" s="25" customFormat="1" ht="13.5" customHeight="1">
      <c r="A152" s="22" t="s">
        <v>463</v>
      </c>
      <c r="B152" s="9"/>
      <c r="C152" s="9" t="s">
        <v>80</v>
      </c>
      <c r="D152" s="9" t="s">
        <v>81</v>
      </c>
      <c r="E152" s="9" t="s">
        <v>108</v>
      </c>
      <c r="F152" s="9" t="s">
        <v>118</v>
      </c>
      <c r="G152" s="9" t="s">
        <v>115</v>
      </c>
      <c r="H152" s="126">
        <f t="shared" si="7"/>
        <v>2504.12</v>
      </c>
      <c r="I152" s="107" t="s">
        <v>76</v>
      </c>
      <c r="J152" s="107" t="s">
        <v>76</v>
      </c>
      <c r="K152" s="107" t="s">
        <v>76</v>
      </c>
      <c r="L152" s="107"/>
      <c r="M152" s="107"/>
      <c r="N152" s="122">
        <v>2504.12</v>
      </c>
      <c r="O152" s="6"/>
    </row>
    <row r="153" spans="1:15" s="25" customFormat="1" ht="39" customHeight="1">
      <c r="A153" s="22" t="s">
        <v>363</v>
      </c>
      <c r="B153" s="9"/>
      <c r="C153" s="9" t="s">
        <v>80</v>
      </c>
      <c r="D153" s="9" t="s">
        <v>81</v>
      </c>
      <c r="E153" s="9" t="s">
        <v>218</v>
      </c>
      <c r="F153" s="9" t="s">
        <v>240</v>
      </c>
      <c r="G153" s="9" t="s">
        <v>115</v>
      </c>
      <c r="H153" s="126">
        <f t="shared" si="7"/>
        <v>3937.5</v>
      </c>
      <c r="I153" s="107" t="s">
        <v>76</v>
      </c>
      <c r="J153" s="107"/>
      <c r="K153" s="107" t="s">
        <v>76</v>
      </c>
      <c r="L153" s="107" t="s">
        <v>76</v>
      </c>
      <c r="M153" s="107"/>
      <c r="N153" s="99">
        <v>3937.5</v>
      </c>
      <c r="O153" s="6"/>
    </row>
    <row r="154" spans="1:15" s="25" customFormat="1" ht="30.75" customHeight="1">
      <c r="A154" s="431" t="s">
        <v>364</v>
      </c>
      <c r="B154" s="20"/>
      <c r="C154" s="9" t="s">
        <v>80</v>
      </c>
      <c r="D154" s="9" t="s">
        <v>81</v>
      </c>
      <c r="E154" s="9" t="s">
        <v>218</v>
      </c>
      <c r="F154" s="9" t="s">
        <v>242</v>
      </c>
      <c r="G154" s="9" t="s">
        <v>115</v>
      </c>
      <c r="H154" s="126">
        <f t="shared" si="7"/>
        <v>7087.63</v>
      </c>
      <c r="I154" s="107" t="s">
        <v>76</v>
      </c>
      <c r="J154" s="108"/>
      <c r="K154" s="107" t="s">
        <v>76</v>
      </c>
      <c r="L154" s="108"/>
      <c r="M154" s="108"/>
      <c r="N154" s="78">
        <v>7087.63</v>
      </c>
      <c r="O154" s="6"/>
    </row>
    <row r="155" spans="1:15" s="25" customFormat="1" ht="30.75" customHeight="1">
      <c r="A155" s="431" t="s">
        <v>243</v>
      </c>
      <c r="B155" s="20"/>
      <c r="C155" s="9" t="s">
        <v>80</v>
      </c>
      <c r="D155" s="9" t="s">
        <v>81</v>
      </c>
      <c r="E155" s="9" t="s">
        <v>218</v>
      </c>
      <c r="F155" s="9" t="s">
        <v>244</v>
      </c>
      <c r="G155" s="9" t="s">
        <v>115</v>
      </c>
      <c r="H155" s="126">
        <f t="shared" si="7"/>
        <v>3823.8</v>
      </c>
      <c r="I155" s="107"/>
      <c r="J155" s="108"/>
      <c r="K155" s="107"/>
      <c r="L155" s="108"/>
      <c r="M155" s="108"/>
      <c r="N155" s="78">
        <v>3823.8</v>
      </c>
      <c r="O155" s="6"/>
    </row>
    <row r="156" spans="1:15" s="25" customFormat="1" ht="27">
      <c r="A156" s="96" t="s">
        <v>129</v>
      </c>
      <c r="B156" s="32" t="s">
        <v>130</v>
      </c>
      <c r="C156" s="33" t="s">
        <v>76</v>
      </c>
      <c r="D156" s="33" t="s">
        <v>76</v>
      </c>
      <c r="E156" s="33" t="s">
        <v>76</v>
      </c>
      <c r="F156" s="33" t="s">
        <v>76</v>
      </c>
      <c r="G156" s="33" t="s">
        <v>76</v>
      </c>
      <c r="H156" s="130">
        <f>I156+N156+K156</f>
        <v>16849834</v>
      </c>
      <c r="I156" s="130">
        <f>I56+I60+I89+I90+I58+I73+I59</f>
        <v>16839834</v>
      </c>
      <c r="J156" s="130"/>
      <c r="K156" s="130">
        <f>K139</f>
        <v>10000</v>
      </c>
      <c r="L156" s="134" t="s">
        <v>76</v>
      </c>
      <c r="M156" s="134" t="s">
        <v>76</v>
      </c>
      <c r="N156" s="130"/>
      <c r="O156" s="6" t="s">
        <v>76</v>
      </c>
    </row>
    <row r="157" spans="1:15" s="25" customFormat="1" ht="27">
      <c r="A157" s="96" t="s">
        <v>131</v>
      </c>
      <c r="B157" s="32" t="s">
        <v>132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H159+H158</f>
        <v>7416678.82</v>
      </c>
      <c r="I157" s="130">
        <f>I159+I158</f>
        <v>5015809</v>
      </c>
      <c r="J157" s="130">
        <f>J159+J158</f>
        <v>0</v>
      </c>
      <c r="K157" s="130">
        <f>K159+K158</f>
        <v>2298865.7</v>
      </c>
      <c r="L157" s="134"/>
      <c r="M157" s="134"/>
      <c r="N157" s="130">
        <f>N159+N158</f>
        <v>102004.12</v>
      </c>
      <c r="O157" s="6"/>
    </row>
    <row r="158" spans="1:15" s="25" customFormat="1" ht="24" customHeight="1">
      <c r="A158" s="96" t="s">
        <v>133</v>
      </c>
      <c r="B158" s="32" t="s">
        <v>134</v>
      </c>
      <c r="C158" s="33" t="s">
        <v>76</v>
      </c>
      <c r="D158" s="33" t="s">
        <v>76</v>
      </c>
      <c r="E158" s="33" t="s">
        <v>76</v>
      </c>
      <c r="F158" s="33" t="s">
        <v>76</v>
      </c>
      <c r="G158" s="33" t="s">
        <v>76</v>
      </c>
      <c r="H158" s="130">
        <f>I158+N158+K158</f>
        <v>0</v>
      </c>
      <c r="I158" s="130"/>
      <c r="J158" s="130"/>
      <c r="K158" s="130">
        <v>0</v>
      </c>
      <c r="L158" s="134"/>
      <c r="M158" s="134"/>
      <c r="N158" s="130">
        <v>0</v>
      </c>
      <c r="O158" s="6"/>
    </row>
    <row r="159" spans="1:15" s="25" customFormat="1" ht="12.75" customHeight="1">
      <c r="A159" s="96" t="s">
        <v>135</v>
      </c>
      <c r="B159" s="32" t="s">
        <v>136</v>
      </c>
      <c r="C159" s="33" t="s">
        <v>76</v>
      </c>
      <c r="D159" s="33" t="s">
        <v>76</v>
      </c>
      <c r="E159" s="33" t="s">
        <v>76</v>
      </c>
      <c r="F159" s="33" t="s">
        <v>76</v>
      </c>
      <c r="G159" s="33" t="s">
        <v>76</v>
      </c>
      <c r="H159" s="130">
        <f>I159+N159+K159</f>
        <v>7416678.82</v>
      </c>
      <c r="I159" s="130">
        <f>I62+I67+I68+I69+I70+I74+I80+I81+I83+I85+I86+I87+I88+I99+I94+I95+I75+I76+I78+I79+I96+I84+I72+I77</f>
        <v>5015809</v>
      </c>
      <c r="J159" s="130"/>
      <c r="K159" s="130">
        <f>K103+K107+K136+K137+K121+K122+K123+K129+K131+K115+K116+K117+K118+K114+K141+K143+K128+K124+K125+K126+K109+K110++K111+K112</f>
        <v>2298865.7</v>
      </c>
      <c r="L159" s="134" t="s">
        <v>76</v>
      </c>
      <c r="M159" s="134" t="s">
        <v>76</v>
      </c>
      <c r="N159" s="130">
        <f>N145+N146+N148+N151+N153+N147+N150+N154+N149+N155+N152</f>
        <v>102004.12</v>
      </c>
      <c r="O159" s="6" t="s">
        <v>76</v>
      </c>
    </row>
    <row r="160" spans="1:15" s="25" customFormat="1" ht="13.5" hidden="1">
      <c r="A160" s="8" t="s">
        <v>137</v>
      </c>
      <c r="B160" s="9" t="s">
        <v>138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f>I160+N160</f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 hidden="1">
      <c r="A161" s="20" t="s">
        <v>139</v>
      </c>
      <c r="B161" s="9" t="s">
        <v>118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140</v>
      </c>
      <c r="B162" s="9" t="s">
        <v>141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142</v>
      </c>
      <c r="B163" s="9" t="s">
        <v>143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 hidden="1">
      <c r="A164" s="20" t="s">
        <v>144</v>
      </c>
      <c r="B164" s="9" t="s">
        <v>145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5" spans="1:15" s="25" customFormat="1" ht="13.5" hidden="1">
      <c r="A165" s="20" t="s">
        <v>146</v>
      </c>
      <c r="B165" s="9" t="s">
        <v>147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6" spans="1:15" s="25" customFormat="1" ht="13.5">
      <c r="A166" s="48" t="s">
        <v>137</v>
      </c>
      <c r="B166" s="49" t="s">
        <v>138</v>
      </c>
      <c r="C166" s="50" t="s">
        <v>173</v>
      </c>
      <c r="D166" s="49" t="s">
        <v>81</v>
      </c>
      <c r="E166" s="50" t="s">
        <v>174</v>
      </c>
      <c r="F166" s="50" t="s">
        <v>174</v>
      </c>
      <c r="G166" s="50" t="s">
        <v>175</v>
      </c>
      <c r="H166" s="132">
        <v>28653.9</v>
      </c>
      <c r="I166" s="136"/>
      <c r="J166" s="136"/>
      <c r="K166" s="136"/>
      <c r="L166" s="137"/>
      <c r="M166" s="137"/>
      <c r="N166" s="136"/>
      <c r="O166" s="6"/>
    </row>
    <row r="167" spans="1:15" s="25" customFormat="1" ht="13.5">
      <c r="A167" s="51" t="s">
        <v>142</v>
      </c>
      <c r="B167" s="49" t="s">
        <v>143</v>
      </c>
      <c r="C167" s="50" t="s">
        <v>173</v>
      </c>
      <c r="D167" s="49" t="s">
        <v>81</v>
      </c>
      <c r="E167" s="50" t="s">
        <v>174</v>
      </c>
      <c r="F167" s="50" t="s">
        <v>174</v>
      </c>
      <c r="G167" s="50" t="s">
        <v>176</v>
      </c>
      <c r="H167" s="132">
        <v>28653.9</v>
      </c>
      <c r="I167" s="136"/>
      <c r="J167" s="136"/>
      <c r="K167" s="136"/>
      <c r="L167" s="137"/>
      <c r="M167" s="137"/>
      <c r="N167" s="136"/>
      <c r="O167" s="6"/>
    </row>
    <row r="168" spans="1:15" s="25" customFormat="1" ht="13.5">
      <c r="A168" s="35" t="s">
        <v>148</v>
      </c>
      <c r="B168" s="36" t="s">
        <v>149</v>
      </c>
      <c r="C168" s="37" t="s">
        <v>76</v>
      </c>
      <c r="D168" s="37" t="s">
        <v>76</v>
      </c>
      <c r="E168" s="37" t="s">
        <v>76</v>
      </c>
      <c r="F168" s="37" t="s">
        <v>76</v>
      </c>
      <c r="G168" s="37" t="s">
        <v>76</v>
      </c>
      <c r="H168" s="133">
        <f>I168+K168+N168</f>
        <v>0</v>
      </c>
      <c r="I168" s="133">
        <v>0</v>
      </c>
      <c r="J168" s="133"/>
      <c r="K168" s="133"/>
      <c r="L168" s="138" t="s">
        <v>76</v>
      </c>
      <c r="M168" s="138" t="s">
        <v>76</v>
      </c>
      <c r="N168" s="133"/>
      <c r="O168" s="6" t="s">
        <v>76</v>
      </c>
    </row>
    <row r="169" spans="1:15" s="25" customFormat="1" ht="13.5">
      <c r="A169" s="20" t="s">
        <v>150</v>
      </c>
      <c r="B169" s="9" t="s">
        <v>151</v>
      </c>
      <c r="C169" s="34" t="s">
        <v>76</v>
      </c>
      <c r="D169" s="34" t="s">
        <v>76</v>
      </c>
      <c r="E169" s="34" t="s">
        <v>76</v>
      </c>
      <c r="F169" s="34" t="s">
        <v>76</v>
      </c>
      <c r="G169" s="34" t="s">
        <v>76</v>
      </c>
      <c r="H169" s="126">
        <v>0</v>
      </c>
      <c r="I169" s="126">
        <v>0</v>
      </c>
      <c r="J169" s="126"/>
      <c r="K169" s="126"/>
      <c r="L169" s="135" t="s">
        <v>76</v>
      </c>
      <c r="M169" s="135" t="s">
        <v>76</v>
      </c>
      <c r="N169" s="126">
        <v>0</v>
      </c>
      <c r="O169" s="6" t="s">
        <v>76</v>
      </c>
    </row>
    <row r="171" ht="12.75">
      <c r="A171" s="88" t="s">
        <v>271</v>
      </c>
    </row>
    <row r="172" ht="12.75">
      <c r="A172" s="88"/>
    </row>
    <row r="173" ht="19.5" customHeight="1">
      <c r="A173" s="88" t="s">
        <v>17</v>
      </c>
    </row>
    <row r="174" ht="12.75">
      <c r="A174" s="88" t="s">
        <v>272</v>
      </c>
    </row>
    <row r="175" ht="12.75">
      <c r="A175" s="88"/>
    </row>
    <row r="176" ht="13.5" customHeight="1">
      <c r="A176" s="89"/>
    </row>
    <row r="177" ht="13.5" customHeight="1">
      <c r="A177" s="89"/>
    </row>
    <row r="178" ht="12.7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  <row r="183" ht="12.75" customHeight="1">
      <c r="A183" s="89"/>
    </row>
    <row r="184" ht="12.75" customHeight="1">
      <c r="A184" s="89"/>
    </row>
  </sheetData>
  <sheetProtection/>
  <mergeCells count="86">
    <mergeCell ref="A135:B135"/>
    <mergeCell ref="A144:B144"/>
    <mergeCell ref="A121:A123"/>
    <mergeCell ref="C121:C123"/>
    <mergeCell ref="A130:B130"/>
    <mergeCell ref="A133:B133"/>
    <mergeCell ref="G121:G123"/>
    <mergeCell ref="A128:A129"/>
    <mergeCell ref="C128:C129"/>
    <mergeCell ref="E128:E129"/>
    <mergeCell ref="F128:F129"/>
    <mergeCell ref="G128:G129"/>
    <mergeCell ref="E121:E123"/>
    <mergeCell ref="F121:F123"/>
    <mergeCell ref="A104:B104"/>
    <mergeCell ref="A108:B108"/>
    <mergeCell ref="A113:B113"/>
    <mergeCell ref="A119:B119"/>
    <mergeCell ref="G85:G86"/>
    <mergeCell ref="A87:A88"/>
    <mergeCell ref="C87:C88"/>
    <mergeCell ref="E87:E88"/>
    <mergeCell ref="F87:F88"/>
    <mergeCell ref="G87:G88"/>
    <mergeCell ref="E85:E86"/>
    <mergeCell ref="A80:A81"/>
    <mergeCell ref="C80:C81"/>
    <mergeCell ref="E80:E81"/>
    <mergeCell ref="F85:F86"/>
    <mergeCell ref="A100:B100"/>
    <mergeCell ref="A82:B82"/>
    <mergeCell ref="A85:A86"/>
    <mergeCell ref="C85:C86"/>
    <mergeCell ref="F80:F81"/>
    <mergeCell ref="G80:G81"/>
    <mergeCell ref="G58:G59"/>
    <mergeCell ref="C62:C67"/>
    <mergeCell ref="F62:F67"/>
    <mergeCell ref="C69:C70"/>
    <mergeCell ref="E69:E70"/>
    <mergeCell ref="E74:E75"/>
    <mergeCell ref="G69:G70"/>
    <mergeCell ref="F69:F70"/>
    <mergeCell ref="A45:A46"/>
    <mergeCell ref="C45:C46"/>
    <mergeCell ref="F45:F46"/>
    <mergeCell ref="A55:B55"/>
    <mergeCell ref="C58:C59"/>
    <mergeCell ref="F58:F59"/>
    <mergeCell ref="A62:A67"/>
    <mergeCell ref="A69:A70"/>
    <mergeCell ref="F40:F42"/>
    <mergeCell ref="B16:B23"/>
    <mergeCell ref="A19:A23"/>
    <mergeCell ref="C19:C23"/>
    <mergeCell ref="F19:F23"/>
    <mergeCell ref="A30:A35"/>
    <mergeCell ref="F31:F35"/>
    <mergeCell ref="A36:A39"/>
    <mergeCell ref="C36:C39"/>
    <mergeCell ref="A40:A42"/>
    <mergeCell ref="J16:J17"/>
    <mergeCell ref="A17:A18"/>
    <mergeCell ref="C17:C18"/>
    <mergeCell ref="E17:E18"/>
    <mergeCell ref="F17:F18"/>
    <mergeCell ref="G17:G18"/>
    <mergeCell ref="C40:C42"/>
    <mergeCell ref="B10:B15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5"/>
  <sheetViews>
    <sheetView view="pageBreakPreview" zoomScale="115" zoomScaleSheetLayoutView="115" zoomScalePageLayoutView="0" workbookViewId="0" topLeftCell="A48">
      <selection activeCell="A141" sqref="A141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500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23" t="s">
        <v>74</v>
      </c>
      <c r="B9" s="24" t="s">
        <v>75</v>
      </c>
      <c r="C9" s="24" t="s">
        <v>76</v>
      </c>
      <c r="D9" s="556" t="s">
        <v>76</v>
      </c>
      <c r="E9" s="556" t="s">
        <v>76</v>
      </c>
      <c r="F9" s="556" t="s">
        <v>76</v>
      </c>
      <c r="G9" s="556" t="s">
        <v>76</v>
      </c>
      <c r="H9" s="130">
        <f>H10+H16+H24</f>
        <v>24291585.82</v>
      </c>
      <c r="I9" s="130">
        <f>I16</f>
        <v>21856043</v>
      </c>
      <c r="J9" s="130"/>
      <c r="K9" s="130">
        <f>K24</f>
        <v>2333538.7</v>
      </c>
      <c r="L9" s="557" t="s">
        <v>76</v>
      </c>
      <c r="M9" s="557" t="s">
        <v>76</v>
      </c>
      <c r="N9" s="130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21856043</v>
      </c>
      <c r="I16" s="78">
        <f>I17+I19+I20+I18+I23</f>
        <v>21856043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17498704</v>
      </c>
      <c r="I18" s="359">
        <f>16689500+661600+147604</f>
        <v>17498704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23.25" customHeight="1">
      <c r="A24" s="555" t="s">
        <v>87</v>
      </c>
      <c r="B24" s="44" t="s">
        <v>88</v>
      </c>
      <c r="C24" s="44" t="s">
        <v>76</v>
      </c>
      <c r="D24" s="44" t="s">
        <v>76</v>
      </c>
      <c r="E24" s="44" t="s">
        <v>76</v>
      </c>
      <c r="F24" s="44" t="s">
        <v>76</v>
      </c>
      <c r="G24" s="44" t="s">
        <v>76</v>
      </c>
      <c r="H24" s="131">
        <f>K24</f>
        <v>2333538.7</v>
      </c>
      <c r="I24" s="111" t="s">
        <v>76</v>
      </c>
      <c r="J24" s="110"/>
      <c r="K24" s="110">
        <f>SUM(K25:K49)</f>
        <v>2333538.7</v>
      </c>
      <c r="L24" s="111" t="s">
        <v>76</v>
      </c>
      <c r="M24" s="111" t="s">
        <v>76</v>
      </c>
      <c r="N24" s="111" t="s">
        <v>76</v>
      </c>
      <c r="O24" s="7" t="s">
        <v>76</v>
      </c>
    </row>
    <row r="25" spans="1:16" ht="69" customHeight="1">
      <c r="A25" s="81" t="s">
        <v>45</v>
      </c>
      <c r="B25" s="6"/>
      <c r="C25" s="17" t="s">
        <v>21</v>
      </c>
      <c r="D25" s="389" t="s">
        <v>89</v>
      </c>
      <c r="E25" s="6"/>
      <c r="F25" s="6" t="s">
        <v>284</v>
      </c>
      <c r="G25" s="6"/>
      <c r="H25" s="390">
        <f>K25</f>
        <v>683740</v>
      </c>
      <c r="I25" s="107" t="s">
        <v>76</v>
      </c>
      <c r="J25" s="116"/>
      <c r="K25" s="391">
        <f>676900-23560+30400</f>
        <v>683740</v>
      </c>
      <c r="L25" s="107" t="s">
        <v>76</v>
      </c>
      <c r="M25" s="107" t="s">
        <v>76</v>
      </c>
      <c r="N25" s="107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63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15" customHeight="1">
      <c r="A30" s="699" t="s">
        <v>280</v>
      </c>
      <c r="B30" s="62"/>
      <c r="C30" s="776" t="s">
        <v>50</v>
      </c>
      <c r="D30" s="774" t="s">
        <v>81</v>
      </c>
      <c r="E30" s="398"/>
      <c r="F30" s="553" t="s">
        <v>501</v>
      </c>
      <c r="G30" s="398"/>
      <c r="H30" s="399">
        <f>K30</f>
        <v>24673</v>
      </c>
      <c r="I30" s="400"/>
      <c r="J30" s="554"/>
      <c r="K30" s="397">
        <v>24673</v>
      </c>
      <c r="L30" s="323"/>
      <c r="M30" s="323"/>
      <c r="N30" s="107"/>
      <c r="O30" s="7"/>
    </row>
    <row r="31" spans="1:15" ht="15" customHeight="1">
      <c r="A31" s="700"/>
      <c r="B31" s="62"/>
      <c r="C31" s="777"/>
      <c r="D31" s="775"/>
      <c r="E31" s="392"/>
      <c r="F31" s="6" t="s">
        <v>284</v>
      </c>
      <c r="G31" s="9"/>
      <c r="H31" s="126">
        <f>K31</f>
        <v>80000</v>
      </c>
      <c r="I31" s="107"/>
      <c r="J31" s="322"/>
      <c r="K31" s="78">
        <v>80000</v>
      </c>
      <c r="L31" s="323"/>
      <c r="M31" s="323"/>
      <c r="N31" s="107" t="s">
        <v>76</v>
      </c>
      <c r="O31" s="7"/>
    </row>
    <row r="32" spans="1:15" ht="21" customHeight="1" hidden="1">
      <c r="A32" s="700"/>
      <c r="B32" s="62"/>
      <c r="C32" s="63" t="s">
        <v>50</v>
      </c>
      <c r="D32" s="393" t="s">
        <v>332</v>
      </c>
      <c r="E32" s="20"/>
      <c r="F32" s="695" t="s">
        <v>284</v>
      </c>
      <c r="G32" s="9"/>
      <c r="H32" s="25"/>
      <c r="I32" s="107" t="s">
        <v>76</v>
      </c>
      <c r="J32" s="108"/>
      <c r="K32" s="109"/>
      <c r="L32" s="108"/>
      <c r="M32" s="108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214</v>
      </c>
      <c r="E33" s="9"/>
      <c r="F33" s="695"/>
      <c r="G33" s="9"/>
      <c r="H33" s="126">
        <f aca="true" t="shared" si="2" ref="H33:H49">K33</f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63" t="s">
        <v>50</v>
      </c>
      <c r="D34" s="393" t="s">
        <v>333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0"/>
      <c r="B35" s="62"/>
      <c r="C35" s="63" t="s">
        <v>50</v>
      </c>
      <c r="D35" s="393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 hidden="1">
      <c r="A36" s="701"/>
      <c r="B36" s="62"/>
      <c r="C36" s="63" t="s">
        <v>50</v>
      </c>
      <c r="D36" s="9" t="s">
        <v>216</v>
      </c>
      <c r="E36" s="9"/>
      <c r="F36" s="695"/>
      <c r="G36" s="9"/>
      <c r="H36" s="126">
        <f t="shared" si="2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customHeight="1">
      <c r="A37" s="741" t="s">
        <v>372</v>
      </c>
      <c r="B37" s="60"/>
      <c r="C37" s="693" t="s">
        <v>373</v>
      </c>
      <c r="D37" s="434" t="s">
        <v>332</v>
      </c>
      <c r="E37" s="9"/>
      <c r="F37" s="6" t="s">
        <v>284</v>
      </c>
      <c r="G37" s="9"/>
      <c r="H37" s="126">
        <f t="shared" si="2"/>
        <v>43200</v>
      </c>
      <c r="I37" s="107"/>
      <c r="J37" s="78"/>
      <c r="K37" s="78">
        <v>43200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214</v>
      </c>
      <c r="E38" s="9"/>
      <c r="F38" s="6" t="s">
        <v>284</v>
      </c>
      <c r="G38" s="9"/>
      <c r="H38" s="126">
        <f t="shared" si="2"/>
        <v>4800</v>
      </c>
      <c r="I38" s="107"/>
      <c r="J38" s="78"/>
      <c r="K38" s="78">
        <v>4800</v>
      </c>
      <c r="L38" s="26"/>
      <c r="M38" s="26"/>
      <c r="N38" s="107"/>
      <c r="O38" s="7"/>
    </row>
    <row r="39" spans="1:15" ht="12.75" customHeight="1">
      <c r="A39" s="742"/>
      <c r="B39" s="60"/>
      <c r="C39" s="697"/>
      <c r="D39" s="434" t="s">
        <v>333</v>
      </c>
      <c r="E39" s="9"/>
      <c r="F39" s="6" t="s">
        <v>284</v>
      </c>
      <c r="G39" s="9"/>
      <c r="H39" s="126">
        <f t="shared" si="2"/>
        <v>10800</v>
      </c>
      <c r="I39" s="107"/>
      <c r="J39" s="78"/>
      <c r="K39" s="78">
        <v>10800</v>
      </c>
      <c r="L39" s="26"/>
      <c r="M39" s="26"/>
      <c r="N39" s="107"/>
      <c r="O39" s="7"/>
    </row>
    <row r="40" spans="1:15" ht="12.75" customHeight="1">
      <c r="A40" s="743"/>
      <c r="B40" s="60"/>
      <c r="C40" s="694"/>
      <c r="D40" s="434" t="s">
        <v>216</v>
      </c>
      <c r="E40" s="9"/>
      <c r="F40" s="6" t="s">
        <v>284</v>
      </c>
      <c r="G40" s="9"/>
      <c r="H40" s="126">
        <f t="shared" si="2"/>
        <v>1200</v>
      </c>
      <c r="I40" s="107"/>
      <c r="J40" s="78"/>
      <c r="K40" s="78">
        <v>1200</v>
      </c>
      <c r="L40" s="26"/>
      <c r="M40" s="26"/>
      <c r="N40" s="107"/>
      <c r="O40" s="7"/>
    </row>
    <row r="41" spans="1:15" ht="12.75">
      <c r="A41" s="711" t="s">
        <v>155</v>
      </c>
      <c r="B41" s="62"/>
      <c r="C41" s="698" t="s">
        <v>51</v>
      </c>
      <c r="D41" s="6" t="s">
        <v>81</v>
      </c>
      <c r="E41" s="9"/>
      <c r="F41" s="693" t="s">
        <v>284</v>
      </c>
      <c r="G41" s="9"/>
      <c r="H41" s="126">
        <f t="shared" si="2"/>
        <v>201123.7</v>
      </c>
      <c r="I41" s="107" t="s">
        <v>76</v>
      </c>
      <c r="J41" s="78"/>
      <c r="K41" s="78">
        <f>195152.7+2985.5+2985.5</f>
        <v>201123.7</v>
      </c>
      <c r="L41" s="26"/>
      <c r="M41" s="26"/>
      <c r="N41" s="107" t="s">
        <v>76</v>
      </c>
      <c r="O41" s="7"/>
    </row>
    <row r="42" spans="1:21" ht="12.75">
      <c r="A42" s="711"/>
      <c r="B42" s="62"/>
      <c r="C42" s="698"/>
      <c r="D42" s="6" t="s">
        <v>166</v>
      </c>
      <c r="E42" s="9"/>
      <c r="F42" s="697"/>
      <c r="G42" s="9"/>
      <c r="H42" s="126">
        <f t="shared" si="2"/>
        <v>188911.8</v>
      </c>
      <c r="I42" s="107" t="s">
        <v>76</v>
      </c>
      <c r="J42" s="78"/>
      <c r="K42" s="78">
        <f>148024.8+20443.5+20443.5</f>
        <v>188911.8</v>
      </c>
      <c r="L42" s="26"/>
      <c r="M42" s="26"/>
      <c r="N42" s="107" t="s">
        <v>76</v>
      </c>
      <c r="O42" s="7"/>
      <c r="U42" s="392"/>
    </row>
    <row r="43" spans="1:15" ht="12.75">
      <c r="A43" s="711"/>
      <c r="B43" s="62"/>
      <c r="C43" s="698"/>
      <c r="D43" s="9" t="s">
        <v>196</v>
      </c>
      <c r="E43" s="9"/>
      <c r="F43" s="694"/>
      <c r="G43" s="9"/>
      <c r="H43" s="126">
        <f t="shared" si="2"/>
        <v>20990.2</v>
      </c>
      <c r="I43" s="107" t="s">
        <v>76</v>
      </c>
      <c r="J43" s="78"/>
      <c r="K43" s="78">
        <f>16447.2+2271.5+2271.5</f>
        <v>20990.2</v>
      </c>
      <c r="L43" s="26"/>
      <c r="M43" s="26"/>
      <c r="N43" s="107" t="s">
        <v>76</v>
      </c>
      <c r="O43" s="7"/>
    </row>
    <row r="44" spans="1:15" ht="63.75">
      <c r="A44" s="65" t="s">
        <v>43</v>
      </c>
      <c r="B44" s="66"/>
      <c r="C44" s="368" t="s">
        <v>42</v>
      </c>
      <c r="D44" s="6" t="s">
        <v>162</v>
      </c>
      <c r="E44" s="9"/>
      <c r="F44" s="6" t="s">
        <v>284</v>
      </c>
      <c r="G44" s="9"/>
      <c r="H44" s="126">
        <f t="shared" si="2"/>
        <v>950000</v>
      </c>
      <c r="I44" s="107" t="s">
        <v>76</v>
      </c>
      <c r="J44" s="78"/>
      <c r="K44" s="78">
        <v>950000</v>
      </c>
      <c r="L44" s="26"/>
      <c r="M44" s="26"/>
      <c r="N44" s="107" t="s">
        <v>76</v>
      </c>
      <c r="O44" s="7"/>
    </row>
    <row r="45" spans="1:21" ht="25.5">
      <c r="A45" s="65" t="s">
        <v>225</v>
      </c>
      <c r="B45" s="66"/>
      <c r="C45" s="59" t="s">
        <v>203</v>
      </c>
      <c r="D45" s="59" t="s">
        <v>81</v>
      </c>
      <c r="E45" s="59"/>
      <c r="F45" s="6" t="s">
        <v>284</v>
      </c>
      <c r="G45" s="9"/>
      <c r="H45" s="126">
        <f t="shared" si="2"/>
        <v>10000</v>
      </c>
      <c r="I45" s="107" t="s">
        <v>76</v>
      </c>
      <c r="J45" s="78"/>
      <c r="K45" s="78">
        <v>10000</v>
      </c>
      <c r="L45" s="26"/>
      <c r="M45" s="26"/>
      <c r="N45" s="107" t="s">
        <v>76</v>
      </c>
      <c r="O45" s="7"/>
      <c r="U45" s="469"/>
    </row>
    <row r="46" spans="1:15" ht="21" customHeight="1" hidden="1">
      <c r="A46" s="689" t="s">
        <v>199</v>
      </c>
      <c r="B46" s="66"/>
      <c r="C46" s="690" t="s">
        <v>192</v>
      </c>
      <c r="D46" s="59" t="s">
        <v>193</v>
      </c>
      <c r="E46" s="59"/>
      <c r="F46" s="693" t="s">
        <v>209</v>
      </c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18" customHeight="1" hidden="1">
      <c r="A47" s="689"/>
      <c r="B47" s="66"/>
      <c r="C47" s="690"/>
      <c r="D47" s="59" t="s">
        <v>196</v>
      </c>
      <c r="E47" s="59"/>
      <c r="F47" s="694"/>
      <c r="G47" s="9"/>
      <c r="H47" s="126">
        <f t="shared" si="2"/>
        <v>0</v>
      </c>
      <c r="I47" s="107" t="s">
        <v>76</v>
      </c>
      <c r="J47" s="78"/>
      <c r="K47" s="78"/>
      <c r="L47" s="26"/>
      <c r="M47" s="26"/>
      <c r="N47" s="107" t="s">
        <v>76</v>
      </c>
      <c r="O47" s="7"/>
    </row>
    <row r="48" spans="1:15" ht="38.25">
      <c r="A48" s="22" t="s">
        <v>49</v>
      </c>
      <c r="B48" s="6"/>
      <c r="C48" s="6" t="s">
        <v>23</v>
      </c>
      <c r="D48" s="6" t="s">
        <v>228</v>
      </c>
      <c r="E48" s="6"/>
      <c r="F48" s="6" t="s">
        <v>209</v>
      </c>
      <c r="G48" s="6"/>
      <c r="H48" s="129">
        <f t="shared" si="2"/>
        <v>90100</v>
      </c>
      <c r="I48" s="26"/>
      <c r="J48" s="26"/>
      <c r="K48" s="78">
        <v>90100</v>
      </c>
      <c r="L48" s="26"/>
      <c r="M48" s="26"/>
      <c r="N48" s="26"/>
      <c r="O48" s="7"/>
    </row>
    <row r="49" spans="1:15" ht="22.5" customHeight="1" hidden="1">
      <c r="A49" s="8" t="s">
        <v>229</v>
      </c>
      <c r="B49" s="6"/>
      <c r="C49" s="22" t="s">
        <v>230</v>
      </c>
      <c r="D49" s="6" t="s">
        <v>81</v>
      </c>
      <c r="E49" s="9"/>
      <c r="F49" s="15" t="s">
        <v>209</v>
      </c>
      <c r="G49" s="9"/>
      <c r="H49" s="126">
        <f t="shared" si="2"/>
        <v>0</v>
      </c>
      <c r="I49" s="107"/>
      <c r="J49" s="78"/>
      <c r="K49" s="26"/>
      <c r="L49" s="26"/>
      <c r="M49" s="26"/>
      <c r="N49" s="26"/>
      <c r="O49" s="7"/>
    </row>
    <row r="50" spans="1:21" s="25" customFormat="1" ht="17.25" customHeight="1">
      <c r="A50" s="23" t="s">
        <v>94</v>
      </c>
      <c r="B50" s="24" t="s">
        <v>95</v>
      </c>
      <c r="C50" s="56" t="s">
        <v>76</v>
      </c>
      <c r="D50" s="56" t="s">
        <v>76</v>
      </c>
      <c r="E50" s="56" t="s">
        <v>76</v>
      </c>
      <c r="F50" s="56" t="s">
        <v>76</v>
      </c>
      <c r="G50" s="56" t="s">
        <v>76</v>
      </c>
      <c r="H50" s="130">
        <f>I50+N50+K50</f>
        <v>24291585.82</v>
      </c>
      <c r="I50" s="130">
        <f>I56+I83+I101</f>
        <v>21856043</v>
      </c>
      <c r="J50" s="130"/>
      <c r="K50" s="130">
        <f>K101+K105+K107+K120+K131+K134+K136+K114+K139+K141+K143+K109</f>
        <v>2333538.7</v>
      </c>
      <c r="L50" s="130"/>
      <c r="M50" s="130"/>
      <c r="N50" s="130">
        <f>N145</f>
        <v>102004.12000000001</v>
      </c>
      <c r="O50" s="95"/>
      <c r="U50" s="380"/>
    </row>
    <row r="51" spans="1:15" s="25" customFormat="1" ht="18" customHeight="1">
      <c r="A51" s="8" t="s">
        <v>96</v>
      </c>
      <c r="B51" s="9" t="s">
        <v>97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16727130</v>
      </c>
      <c r="I51" s="78">
        <f>I52+I54</f>
        <v>16727130</v>
      </c>
      <c r="J51" s="78"/>
      <c r="K51" s="78"/>
      <c r="L51" s="78"/>
      <c r="M51" s="78"/>
      <c r="N51" s="78"/>
      <c r="O51" s="7" t="s">
        <v>76</v>
      </c>
    </row>
    <row r="52" spans="1:15" s="25" customFormat="1" ht="25.5">
      <c r="A52" s="22" t="s">
        <v>98</v>
      </c>
      <c r="B52" s="9" t="s">
        <v>99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16727130</v>
      </c>
      <c r="I52" s="78">
        <f>I57+I59+I61+I62</f>
        <v>16727130</v>
      </c>
      <c r="J52" s="78"/>
      <c r="K52" s="78"/>
      <c r="L52" s="78"/>
      <c r="M52" s="78"/>
      <c r="N52" s="78"/>
      <c r="O52" s="7" t="s">
        <v>76</v>
      </c>
    </row>
    <row r="53" spans="1:15" s="25" customFormat="1" ht="9.75" customHeight="1" hidden="1">
      <c r="A53" s="8" t="s">
        <v>100</v>
      </c>
      <c r="B53" s="9" t="s">
        <v>101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/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25.5" hidden="1">
      <c r="A54" s="8" t="s">
        <v>102</v>
      </c>
      <c r="B54" s="9" t="s">
        <v>103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f>I54+N54</f>
        <v>0</v>
      </c>
      <c r="I54" s="78"/>
      <c r="J54" s="78"/>
      <c r="K54" s="78"/>
      <c r="L54" s="78"/>
      <c r="M54" s="78"/>
      <c r="N54" s="78"/>
      <c r="O54" s="7" t="s">
        <v>76</v>
      </c>
    </row>
    <row r="55" spans="1:15" s="25" customFormat="1" ht="13.5" customHeight="1" hidden="1">
      <c r="A55" s="8" t="s">
        <v>104</v>
      </c>
      <c r="B55" s="9" t="s">
        <v>105</v>
      </c>
      <c r="C55" s="26" t="s">
        <v>76</v>
      </c>
      <c r="D55" s="26" t="s">
        <v>76</v>
      </c>
      <c r="E55" s="26" t="s">
        <v>76</v>
      </c>
      <c r="F55" s="26" t="s">
        <v>76</v>
      </c>
      <c r="G55" s="26" t="s">
        <v>76</v>
      </c>
      <c r="H55" s="126">
        <v>0</v>
      </c>
      <c r="I55" s="78">
        <v>0</v>
      </c>
      <c r="J55" s="78"/>
      <c r="K55" s="78"/>
      <c r="L55" s="78"/>
      <c r="M55" s="78"/>
      <c r="N55" s="78"/>
      <c r="O55" s="21"/>
    </row>
    <row r="56" spans="1:15" s="25" customFormat="1" ht="29.25" customHeight="1">
      <c r="A56" s="681" t="s">
        <v>428</v>
      </c>
      <c r="B56" s="683"/>
      <c r="C56" s="27" t="s">
        <v>18</v>
      </c>
      <c r="D56" s="3"/>
      <c r="E56" s="27"/>
      <c r="F56" s="3"/>
      <c r="G56" s="3"/>
      <c r="H56" s="124">
        <f>SUM(H57:H82)</f>
        <v>17907004</v>
      </c>
      <c r="I56" s="97">
        <f>SUM(I57:I82)</f>
        <v>17907004</v>
      </c>
      <c r="J56" s="110"/>
      <c r="K56" s="111" t="s">
        <v>107</v>
      </c>
      <c r="L56" s="111"/>
      <c r="M56" s="111"/>
      <c r="N56" s="111" t="s">
        <v>107</v>
      </c>
      <c r="O56" s="28"/>
    </row>
    <row r="57" spans="1:15" s="25" customFormat="1" ht="16.5" customHeight="1">
      <c r="A57" s="22" t="s">
        <v>4</v>
      </c>
      <c r="B57" s="9"/>
      <c r="C57" s="6" t="s">
        <v>18</v>
      </c>
      <c r="D57" s="14">
        <v>14130030000000000</v>
      </c>
      <c r="E57" s="6" t="s">
        <v>108</v>
      </c>
      <c r="F57" s="6" t="s">
        <v>99</v>
      </c>
      <c r="G57" s="6" t="s">
        <v>109</v>
      </c>
      <c r="H57" s="126">
        <f aca="true" t="shared" si="3" ref="H57:H97">I57</f>
        <v>12840000</v>
      </c>
      <c r="I57" s="112">
        <f>12739000-10404-14200+125604</f>
        <v>12840000</v>
      </c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6.5" customHeight="1">
      <c r="A58" s="22" t="s">
        <v>5</v>
      </c>
      <c r="B58" s="9"/>
      <c r="C58" s="6" t="s">
        <v>18</v>
      </c>
      <c r="D58" s="9" t="s">
        <v>81</v>
      </c>
      <c r="E58" s="6" t="s">
        <v>108</v>
      </c>
      <c r="F58" s="308" t="s">
        <v>110</v>
      </c>
      <c r="G58" s="308" t="s">
        <v>111</v>
      </c>
      <c r="H58" s="126">
        <f t="shared" si="3"/>
        <v>400</v>
      </c>
      <c r="I58" s="112">
        <f>400</f>
        <v>400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/>
    </row>
    <row r="59" spans="1:15" s="25" customFormat="1" ht="15.75" customHeight="1">
      <c r="A59" s="22" t="s">
        <v>5</v>
      </c>
      <c r="B59" s="9"/>
      <c r="C59" s="693" t="s">
        <v>18</v>
      </c>
      <c r="D59" s="9" t="s">
        <v>81</v>
      </c>
      <c r="E59" s="6" t="s">
        <v>108</v>
      </c>
      <c r="F59" s="693" t="s">
        <v>116</v>
      </c>
      <c r="G59" s="693" t="s">
        <v>111</v>
      </c>
      <c r="H59" s="126">
        <f t="shared" si="3"/>
        <v>10130</v>
      </c>
      <c r="I59" s="78">
        <f>2270+7860</f>
        <v>10130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/>
    </row>
    <row r="60" spans="1:15" s="25" customFormat="1" ht="12.75">
      <c r="A60" s="22" t="s">
        <v>5</v>
      </c>
      <c r="B60" s="9"/>
      <c r="C60" s="694"/>
      <c r="D60" s="14">
        <v>14130030000000000</v>
      </c>
      <c r="E60" s="9" t="s">
        <v>157</v>
      </c>
      <c r="F60" s="761"/>
      <c r="G60" s="761"/>
      <c r="H60" s="126">
        <f t="shared" si="3"/>
        <v>2400</v>
      </c>
      <c r="I60" s="78">
        <v>2400</v>
      </c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 t="s">
        <v>76</v>
      </c>
    </row>
    <row r="61" spans="1:15" s="25" customFormat="1" ht="12.75">
      <c r="A61" s="81" t="s">
        <v>6</v>
      </c>
      <c r="B61" s="9"/>
      <c r="C61" s="6" t="s">
        <v>18</v>
      </c>
      <c r="D61" s="14">
        <v>14130030000000000</v>
      </c>
      <c r="E61" s="6" t="s">
        <v>108</v>
      </c>
      <c r="F61" s="6" t="s">
        <v>112</v>
      </c>
      <c r="G61" s="6" t="s">
        <v>113</v>
      </c>
      <c r="H61" s="126">
        <f t="shared" si="3"/>
        <v>3877000</v>
      </c>
      <c r="I61" s="78">
        <f>3855000+22000</f>
        <v>3877000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hidden="1">
      <c r="A62" s="86"/>
      <c r="B62" s="12"/>
      <c r="C62" s="60"/>
      <c r="D62" s="30">
        <v>14130030000000000</v>
      </c>
      <c r="E62" s="29"/>
      <c r="F62" s="31"/>
      <c r="G62" s="31"/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/>
    </row>
    <row r="63" spans="1:15" s="25" customFormat="1" ht="13.5" customHeight="1">
      <c r="A63" s="691" t="s">
        <v>7</v>
      </c>
      <c r="B63" s="9"/>
      <c r="C63" s="693" t="s">
        <v>18</v>
      </c>
      <c r="D63" s="9" t="s">
        <v>81</v>
      </c>
      <c r="E63" s="9" t="s">
        <v>108</v>
      </c>
      <c r="F63" s="693" t="s">
        <v>114</v>
      </c>
      <c r="G63" s="9" t="s">
        <v>115</v>
      </c>
      <c r="H63" s="126">
        <f t="shared" si="3"/>
        <v>32600</v>
      </c>
      <c r="I63" s="113">
        <v>32600</v>
      </c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 t="s">
        <v>115</v>
      </c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 hidden="1">
      <c r="A66" s="696"/>
      <c r="B66" s="9"/>
      <c r="C66" s="697"/>
      <c r="D66" s="15"/>
      <c r="E66" s="9"/>
      <c r="F66" s="697"/>
      <c r="G66" s="9"/>
      <c r="H66" s="126">
        <f t="shared" si="3"/>
        <v>0</v>
      </c>
      <c r="I66" s="78"/>
      <c r="J66" s="78"/>
      <c r="K66" s="107" t="s">
        <v>76</v>
      </c>
      <c r="L66" s="107" t="s">
        <v>76</v>
      </c>
      <c r="M66" s="107" t="s">
        <v>76</v>
      </c>
      <c r="N66" s="107" t="s">
        <v>76</v>
      </c>
      <c r="O66" s="6" t="s">
        <v>76</v>
      </c>
    </row>
    <row r="67" spans="1:15" s="25" customFormat="1" ht="12.75" customHeight="1" hidden="1">
      <c r="A67" s="696"/>
      <c r="B67" s="9"/>
      <c r="C67" s="697"/>
      <c r="D67" s="15"/>
      <c r="E67" s="9"/>
      <c r="F67" s="697"/>
      <c r="G67" s="9"/>
      <c r="H67" s="126">
        <f t="shared" si="3"/>
        <v>0</v>
      </c>
      <c r="I67" s="78"/>
      <c r="J67" s="78"/>
      <c r="K67" s="107" t="s">
        <v>76</v>
      </c>
      <c r="L67" s="107" t="s">
        <v>76</v>
      </c>
      <c r="M67" s="107" t="s">
        <v>76</v>
      </c>
      <c r="N67" s="107" t="s">
        <v>76</v>
      </c>
      <c r="O67" s="6" t="s">
        <v>76</v>
      </c>
    </row>
    <row r="68" spans="1:15" s="25" customFormat="1" ht="12.75" customHeight="1">
      <c r="A68" s="692"/>
      <c r="B68" s="9"/>
      <c r="C68" s="694"/>
      <c r="D68" s="14">
        <v>14130030000000000</v>
      </c>
      <c r="E68" s="9" t="s">
        <v>108</v>
      </c>
      <c r="F68" s="694"/>
      <c r="G68" s="9" t="s">
        <v>115</v>
      </c>
      <c r="H68" s="126">
        <f t="shared" si="3"/>
        <v>50155</v>
      </c>
      <c r="I68" s="106">
        <f>30000+20155</f>
        <v>50155</v>
      </c>
      <c r="J68" s="78"/>
      <c r="K68" s="107" t="s">
        <v>76</v>
      </c>
      <c r="L68" s="107"/>
      <c r="M68" s="107"/>
      <c r="N68" s="107" t="s">
        <v>76</v>
      </c>
      <c r="O68" s="6"/>
    </row>
    <row r="69" spans="1:15" s="25" customFormat="1" ht="12.75" customHeight="1">
      <c r="A69" s="16" t="s">
        <v>8</v>
      </c>
      <c r="B69" s="9"/>
      <c r="C69" s="6" t="s">
        <v>18</v>
      </c>
      <c r="D69" s="9" t="s">
        <v>81</v>
      </c>
      <c r="E69" s="10" t="s">
        <v>108</v>
      </c>
      <c r="F69" s="11" t="s">
        <v>128</v>
      </c>
      <c r="G69" s="10" t="s">
        <v>115</v>
      </c>
      <c r="H69" s="126">
        <f t="shared" si="3"/>
        <v>102000</v>
      </c>
      <c r="I69" s="113">
        <v>102000</v>
      </c>
      <c r="J69" s="78"/>
      <c r="K69" s="107" t="s">
        <v>76</v>
      </c>
      <c r="L69" s="107"/>
      <c r="M69" s="107"/>
      <c r="N69" s="107" t="s">
        <v>76</v>
      </c>
      <c r="O69" s="6"/>
    </row>
    <row r="70" spans="1:15" s="25" customFormat="1" ht="12.75">
      <c r="A70" s="691" t="s">
        <v>12</v>
      </c>
      <c r="B70" s="9"/>
      <c r="C70" s="693" t="s">
        <v>18</v>
      </c>
      <c r="D70" s="9" t="s">
        <v>81</v>
      </c>
      <c r="E70" s="693" t="s">
        <v>108</v>
      </c>
      <c r="F70" s="693" t="s">
        <v>116</v>
      </c>
      <c r="G70" s="693" t="s">
        <v>115</v>
      </c>
      <c r="H70" s="126">
        <f t="shared" si="3"/>
        <v>236697.8</v>
      </c>
      <c r="I70" s="113">
        <f>216300+56000-21600-2270-11732.2</f>
        <v>236697.8</v>
      </c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692"/>
      <c r="B71" s="9"/>
      <c r="C71" s="694"/>
      <c r="D71" s="14">
        <v>14130030000000000</v>
      </c>
      <c r="E71" s="694"/>
      <c r="F71" s="694"/>
      <c r="G71" s="694"/>
      <c r="H71" s="126">
        <f t="shared" si="3"/>
        <v>0</v>
      </c>
      <c r="I71" s="79"/>
      <c r="J71" s="78"/>
      <c r="K71" s="107" t="s">
        <v>76</v>
      </c>
      <c r="L71" s="107" t="s">
        <v>76</v>
      </c>
      <c r="M71" s="107" t="s">
        <v>76</v>
      </c>
      <c r="N71" s="107" t="s">
        <v>76</v>
      </c>
      <c r="O71" s="6"/>
    </row>
    <row r="72" spans="1:15" s="25" customFormat="1" ht="12.75">
      <c r="A72" s="22" t="s">
        <v>13</v>
      </c>
      <c r="B72" s="9"/>
      <c r="C72" s="9"/>
      <c r="D72" s="15"/>
      <c r="E72" s="9"/>
      <c r="F72" s="9" t="s">
        <v>117</v>
      </c>
      <c r="G72" s="9" t="s">
        <v>115</v>
      </c>
      <c r="H72" s="126">
        <f t="shared" si="3"/>
        <v>0</v>
      </c>
      <c r="I72" s="78"/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 t="s">
        <v>76</v>
      </c>
    </row>
    <row r="73" spans="1:15" s="25" customFormat="1" ht="12.75">
      <c r="A73" s="22" t="s">
        <v>427</v>
      </c>
      <c r="B73" s="9"/>
      <c r="C73" s="6" t="s">
        <v>18</v>
      </c>
      <c r="D73" s="9" t="s">
        <v>81</v>
      </c>
      <c r="E73" s="471" t="s">
        <v>232</v>
      </c>
      <c r="F73" s="9" t="s">
        <v>116</v>
      </c>
      <c r="G73" s="10" t="s">
        <v>115</v>
      </c>
      <c r="H73" s="126">
        <f t="shared" si="3"/>
        <v>21600</v>
      </c>
      <c r="I73" s="78">
        <v>21600</v>
      </c>
      <c r="J73" s="78"/>
      <c r="K73" s="107"/>
      <c r="L73" s="107"/>
      <c r="M73" s="107"/>
      <c r="N73" s="107"/>
      <c r="O73" s="6"/>
    </row>
    <row r="74" spans="1:15" s="25" customFormat="1" ht="25.5">
      <c r="A74" s="22" t="s">
        <v>245</v>
      </c>
      <c r="B74" s="9"/>
      <c r="C74" s="9" t="s">
        <v>18</v>
      </c>
      <c r="D74" s="14">
        <v>14130010000000000</v>
      </c>
      <c r="E74" s="9" t="s">
        <v>108</v>
      </c>
      <c r="F74" s="9" t="s">
        <v>246</v>
      </c>
      <c r="G74" s="10" t="s">
        <v>109</v>
      </c>
      <c r="H74" s="126">
        <f t="shared" si="3"/>
        <v>50104</v>
      </c>
      <c r="I74" s="78">
        <f>25500+10404+14200</f>
        <v>50104</v>
      </c>
      <c r="J74" s="78"/>
      <c r="K74" s="107" t="s">
        <v>76</v>
      </c>
      <c r="L74" s="107" t="s">
        <v>76</v>
      </c>
      <c r="M74" s="107" t="s">
        <v>76</v>
      </c>
      <c r="N74" s="107" t="s">
        <v>76</v>
      </c>
      <c r="O74" s="6"/>
    </row>
    <row r="75" spans="1:15" s="25" customFormat="1" ht="12.75">
      <c r="A75" s="22" t="s">
        <v>14</v>
      </c>
      <c r="B75" s="9"/>
      <c r="C75" s="9" t="s">
        <v>18</v>
      </c>
      <c r="D75" s="14">
        <v>14130030000000000</v>
      </c>
      <c r="E75" s="695" t="s">
        <v>108</v>
      </c>
      <c r="F75" s="9" t="s">
        <v>118</v>
      </c>
      <c r="G75" s="9" t="s">
        <v>115</v>
      </c>
      <c r="H75" s="126">
        <f t="shared" si="3"/>
        <v>639045</v>
      </c>
      <c r="I75" s="79">
        <f>641445-2400</f>
        <v>639045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 t="s">
        <v>76</v>
      </c>
    </row>
    <row r="76" spans="1:15" s="25" customFormat="1" ht="51" hidden="1">
      <c r="A76" s="82" t="s">
        <v>237</v>
      </c>
      <c r="B76" s="9"/>
      <c r="C76" s="83" t="s">
        <v>18</v>
      </c>
      <c r="D76" s="9" t="s">
        <v>81</v>
      </c>
      <c r="E76" s="695"/>
      <c r="F76" s="84" t="s">
        <v>238</v>
      </c>
      <c r="G76" s="84" t="s">
        <v>115</v>
      </c>
      <c r="H76" s="126">
        <f t="shared" si="3"/>
        <v>0</v>
      </c>
      <c r="I76" s="113"/>
      <c r="J76" s="78"/>
      <c r="K76" s="107" t="s">
        <v>76</v>
      </c>
      <c r="L76" s="107" t="s">
        <v>76</v>
      </c>
      <c r="M76" s="107" t="s">
        <v>76</v>
      </c>
      <c r="N76" s="107" t="s">
        <v>76</v>
      </c>
      <c r="O76" s="6"/>
    </row>
    <row r="77" spans="1:15" s="25" customFormat="1" ht="38.25">
      <c r="A77" s="82" t="s">
        <v>239</v>
      </c>
      <c r="B77" s="9"/>
      <c r="C77" s="83" t="s">
        <v>18</v>
      </c>
      <c r="D77" s="9" t="s">
        <v>81</v>
      </c>
      <c r="E77" s="83" t="s">
        <v>108</v>
      </c>
      <c r="F77" s="84" t="s">
        <v>240</v>
      </c>
      <c r="G77" s="84" t="s">
        <v>115</v>
      </c>
      <c r="H77" s="126">
        <f t="shared" si="3"/>
        <v>1400</v>
      </c>
      <c r="I77" s="106">
        <v>1400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25.5">
      <c r="A78" s="22" t="s">
        <v>241</v>
      </c>
      <c r="B78" s="9"/>
      <c r="C78" s="9" t="s">
        <v>18</v>
      </c>
      <c r="D78" s="9" t="s">
        <v>81</v>
      </c>
      <c r="E78" s="10" t="s">
        <v>108</v>
      </c>
      <c r="F78" s="9" t="s">
        <v>242</v>
      </c>
      <c r="G78" s="9" t="s">
        <v>115</v>
      </c>
      <c r="H78" s="126">
        <f>I78</f>
        <v>3472.2</v>
      </c>
      <c r="I78" s="376">
        <v>3472.2</v>
      </c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/>
    </row>
    <row r="79" spans="1:15" s="25" customFormat="1" ht="25.5">
      <c r="A79" s="22" t="s">
        <v>241</v>
      </c>
      <c r="B79" s="9"/>
      <c r="C79" s="9" t="s">
        <v>18</v>
      </c>
      <c r="D79" s="14">
        <v>14130030000000000</v>
      </c>
      <c r="E79" s="10" t="s">
        <v>108</v>
      </c>
      <c r="F79" s="9" t="s">
        <v>242</v>
      </c>
      <c r="G79" s="9" t="s">
        <v>115</v>
      </c>
      <c r="H79" s="126">
        <f t="shared" si="3"/>
        <v>40000</v>
      </c>
      <c r="I79" s="376">
        <f>20000+20000</f>
        <v>40000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/>
    </row>
    <row r="80" spans="1:15" s="25" customFormat="1" ht="25.5">
      <c r="A80" s="394" t="s">
        <v>243</v>
      </c>
      <c r="B80" s="6"/>
      <c r="C80" s="6" t="s">
        <v>18</v>
      </c>
      <c r="D80" s="395">
        <v>14130030000000000</v>
      </c>
      <c r="E80" s="6" t="s">
        <v>108</v>
      </c>
      <c r="F80" s="6" t="s">
        <v>244</v>
      </c>
      <c r="G80" s="6" t="s">
        <v>115</v>
      </c>
      <c r="H80" s="126">
        <f t="shared" si="3"/>
        <v>0</v>
      </c>
      <c r="I80" s="376">
        <f>20000-20000</f>
        <v>0</v>
      </c>
      <c r="J80" s="107"/>
      <c r="K80" s="107" t="s">
        <v>76</v>
      </c>
      <c r="L80" s="107" t="s">
        <v>76</v>
      </c>
      <c r="M80" s="107" t="s">
        <v>76</v>
      </c>
      <c r="N80" s="107" t="s">
        <v>76</v>
      </c>
      <c r="O80" s="6"/>
    </row>
    <row r="81" spans="1:15" s="25" customFormat="1" ht="12.75" hidden="1">
      <c r="A81" s="691" t="s">
        <v>188</v>
      </c>
      <c r="B81" s="9"/>
      <c r="C81" s="693" t="s">
        <v>18</v>
      </c>
      <c r="D81" s="9" t="s">
        <v>81</v>
      </c>
      <c r="E81" s="693" t="s">
        <v>108</v>
      </c>
      <c r="F81" s="693" t="s">
        <v>119</v>
      </c>
      <c r="G81" s="693" t="s">
        <v>115</v>
      </c>
      <c r="H81" s="126">
        <f t="shared" si="3"/>
        <v>0</v>
      </c>
      <c r="I81" s="78"/>
      <c r="J81" s="100"/>
      <c r="K81" s="101" t="s">
        <v>76</v>
      </c>
      <c r="L81" s="101" t="s">
        <v>76</v>
      </c>
      <c r="M81" s="101" t="s">
        <v>76</v>
      </c>
      <c r="N81" s="101" t="s">
        <v>76</v>
      </c>
      <c r="O81" s="6"/>
    </row>
    <row r="82" spans="1:15" s="25" customFormat="1" ht="12.75" hidden="1">
      <c r="A82" s="692"/>
      <c r="B82" s="9"/>
      <c r="C82" s="694"/>
      <c r="D82" s="14">
        <v>14130030000000000</v>
      </c>
      <c r="E82" s="694"/>
      <c r="F82" s="694"/>
      <c r="G82" s="694"/>
      <c r="H82" s="126">
        <f t="shared" si="3"/>
        <v>0</v>
      </c>
      <c r="I82" s="79"/>
      <c r="J82" s="100"/>
      <c r="K82" s="101" t="s">
        <v>76</v>
      </c>
      <c r="L82" s="101" t="s">
        <v>76</v>
      </c>
      <c r="M82" s="101" t="s">
        <v>76</v>
      </c>
      <c r="N82" s="101" t="s">
        <v>76</v>
      </c>
      <c r="O82" s="6" t="s">
        <v>76</v>
      </c>
    </row>
    <row r="83" spans="1:15" s="25" customFormat="1" ht="27.75" customHeight="1">
      <c r="A83" s="681" t="s">
        <v>189</v>
      </c>
      <c r="B83" s="683"/>
      <c r="C83" s="27" t="s">
        <v>20</v>
      </c>
      <c r="D83" s="3"/>
      <c r="E83" s="27"/>
      <c r="F83" s="3"/>
      <c r="G83" s="3"/>
      <c r="H83" s="124">
        <f t="shared" si="3"/>
        <v>3949039</v>
      </c>
      <c r="I83" s="97">
        <f>SUM(I84:I100)</f>
        <v>3949039</v>
      </c>
      <c r="J83" s="110"/>
      <c r="K83" s="111" t="s">
        <v>107</v>
      </c>
      <c r="L83" s="111"/>
      <c r="M83" s="111"/>
      <c r="N83" s="111" t="s">
        <v>107</v>
      </c>
      <c r="O83" s="28"/>
    </row>
    <row r="84" spans="1:15" s="25" customFormat="1" ht="15" customHeight="1">
      <c r="A84" s="22" t="s">
        <v>9</v>
      </c>
      <c r="B84" s="9"/>
      <c r="C84" s="9" t="s">
        <v>20</v>
      </c>
      <c r="D84" s="9" t="s">
        <v>81</v>
      </c>
      <c r="E84" s="9" t="s">
        <v>108</v>
      </c>
      <c r="F84" s="9" t="s">
        <v>120</v>
      </c>
      <c r="G84" s="9" t="s">
        <v>115</v>
      </c>
      <c r="H84" s="126">
        <f t="shared" si="3"/>
        <v>934139</v>
      </c>
      <c r="I84" s="78">
        <f>1083500-149361</f>
        <v>934139</v>
      </c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 t="s">
        <v>76</v>
      </c>
    </row>
    <row r="85" spans="1:15" s="25" customFormat="1" ht="15" customHeight="1">
      <c r="A85" s="82" t="s">
        <v>8</v>
      </c>
      <c r="B85" s="9"/>
      <c r="C85" s="9" t="s">
        <v>20</v>
      </c>
      <c r="D85" s="9" t="s">
        <v>81</v>
      </c>
      <c r="E85" s="10" t="s">
        <v>108</v>
      </c>
      <c r="F85" s="10" t="s">
        <v>128</v>
      </c>
      <c r="G85" s="10" t="s">
        <v>115</v>
      </c>
      <c r="H85" s="126">
        <f t="shared" si="3"/>
        <v>17547.48</v>
      </c>
      <c r="I85" s="78">
        <v>17547.48</v>
      </c>
      <c r="J85" s="78"/>
      <c r="K85" s="107"/>
      <c r="L85" s="107"/>
      <c r="M85" s="107"/>
      <c r="N85" s="107"/>
      <c r="O85" s="6"/>
    </row>
    <row r="86" spans="1:15" s="25" customFormat="1" ht="15" customHeight="1">
      <c r="A86" s="691" t="s">
        <v>11</v>
      </c>
      <c r="B86" s="9"/>
      <c r="C86" s="693" t="s">
        <v>20</v>
      </c>
      <c r="D86" s="9" t="s">
        <v>81</v>
      </c>
      <c r="E86" s="693" t="s">
        <v>108</v>
      </c>
      <c r="F86" s="693" t="s">
        <v>121</v>
      </c>
      <c r="G86" s="693" t="s">
        <v>115</v>
      </c>
      <c r="H86" s="126">
        <f t="shared" si="3"/>
        <v>231900</v>
      </c>
      <c r="I86" s="112">
        <f>246900-15000</f>
        <v>231900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>
      <c r="A87" s="692"/>
      <c r="B87" s="9"/>
      <c r="C87" s="694"/>
      <c r="D87" s="14">
        <v>14130030000000000</v>
      </c>
      <c r="E87" s="694"/>
      <c r="F87" s="694"/>
      <c r="G87" s="694"/>
      <c r="H87" s="126">
        <f t="shared" si="3"/>
        <v>2020000</v>
      </c>
      <c r="I87" s="112">
        <v>2020000</v>
      </c>
      <c r="J87" s="362"/>
      <c r="K87" s="107" t="s">
        <v>76</v>
      </c>
      <c r="L87" s="107"/>
      <c r="M87" s="107"/>
      <c r="N87" s="107" t="s">
        <v>76</v>
      </c>
      <c r="O87" s="6"/>
    </row>
    <row r="88" spans="1:15" s="25" customFormat="1" ht="12.75">
      <c r="A88" s="691" t="s">
        <v>12</v>
      </c>
      <c r="B88" s="9"/>
      <c r="C88" s="693" t="s">
        <v>20</v>
      </c>
      <c r="D88" s="9" t="s">
        <v>81</v>
      </c>
      <c r="E88" s="693" t="s">
        <v>108</v>
      </c>
      <c r="F88" s="693" t="s">
        <v>116</v>
      </c>
      <c r="G88" s="693" t="s">
        <v>115</v>
      </c>
      <c r="H88" s="126">
        <f t="shared" si="3"/>
        <v>82352.52</v>
      </c>
      <c r="I88" s="78">
        <f>99900-17547.48</f>
        <v>82352.52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>
      <c r="A89" s="692"/>
      <c r="B89" s="9"/>
      <c r="C89" s="694"/>
      <c r="D89" s="14">
        <v>14130030000000000</v>
      </c>
      <c r="E89" s="694"/>
      <c r="F89" s="694"/>
      <c r="G89" s="694"/>
      <c r="H89" s="126">
        <f t="shared" si="3"/>
        <v>534800</v>
      </c>
      <c r="I89" s="115">
        <v>534800</v>
      </c>
      <c r="J89" s="78"/>
      <c r="K89" s="107" t="s">
        <v>76</v>
      </c>
      <c r="L89" s="107"/>
      <c r="M89" s="107"/>
      <c r="N89" s="107" t="s">
        <v>76</v>
      </c>
      <c r="O89" s="6"/>
    </row>
    <row r="90" spans="1:15" s="25" customFormat="1" ht="12.75">
      <c r="A90" s="22" t="s">
        <v>249</v>
      </c>
      <c r="B90" s="9"/>
      <c r="C90" s="9" t="s">
        <v>20</v>
      </c>
      <c r="D90" s="9" t="s">
        <v>81</v>
      </c>
      <c r="E90" s="9" t="s">
        <v>108</v>
      </c>
      <c r="F90" s="9" t="s">
        <v>206</v>
      </c>
      <c r="G90" s="9" t="s">
        <v>122</v>
      </c>
      <c r="H90" s="126">
        <f t="shared" si="3"/>
        <v>60200</v>
      </c>
      <c r="I90" s="78">
        <f>55400+4800</f>
        <v>60200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 t="s">
        <v>76</v>
      </c>
    </row>
    <row r="91" spans="1:15" s="25" customFormat="1" ht="12.75">
      <c r="A91" s="22" t="s">
        <v>249</v>
      </c>
      <c r="B91" s="9"/>
      <c r="C91" s="9" t="s">
        <v>20</v>
      </c>
      <c r="D91" s="9" t="s">
        <v>81</v>
      </c>
      <c r="E91" s="9" t="s">
        <v>108</v>
      </c>
      <c r="F91" s="9" t="s">
        <v>206</v>
      </c>
      <c r="G91" s="9" t="s">
        <v>250</v>
      </c>
      <c r="H91" s="126">
        <f t="shared" si="3"/>
        <v>0</v>
      </c>
      <c r="I91" s="79">
        <f>4800-4800</f>
        <v>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2.75" hidden="1">
      <c r="A92" s="22" t="s">
        <v>14</v>
      </c>
      <c r="B92" s="9"/>
      <c r="C92" s="9" t="s">
        <v>20</v>
      </c>
      <c r="D92" s="9" t="s">
        <v>81</v>
      </c>
      <c r="E92" s="9" t="s">
        <v>124</v>
      </c>
      <c r="F92" s="9" t="s">
        <v>118</v>
      </c>
      <c r="G92" s="9" t="s">
        <v>115</v>
      </c>
      <c r="H92" s="126">
        <f t="shared" si="3"/>
        <v>0</v>
      </c>
      <c r="I92" s="78"/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51" hidden="1">
      <c r="A93" s="82" t="s">
        <v>237</v>
      </c>
      <c r="B93" s="9"/>
      <c r="C93" s="83" t="s">
        <v>18</v>
      </c>
      <c r="D93" s="9" t="s">
        <v>81</v>
      </c>
      <c r="E93" s="83" t="s">
        <v>124</v>
      </c>
      <c r="F93" s="84" t="s">
        <v>238</v>
      </c>
      <c r="G93" s="84" t="s">
        <v>115</v>
      </c>
      <c r="H93" s="126">
        <f t="shared" si="3"/>
        <v>0</v>
      </c>
      <c r="I93" s="78"/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/>
    </row>
    <row r="94" spans="1:15" s="25" customFormat="1" ht="38.25" hidden="1">
      <c r="A94" s="82" t="s">
        <v>239</v>
      </c>
      <c r="B94" s="9"/>
      <c r="C94" s="83" t="s">
        <v>18</v>
      </c>
      <c r="D94" s="9" t="s">
        <v>81</v>
      </c>
      <c r="E94" s="83" t="s">
        <v>124</v>
      </c>
      <c r="F94" s="84" t="s">
        <v>240</v>
      </c>
      <c r="G94" s="84" t="s">
        <v>115</v>
      </c>
      <c r="H94" s="126">
        <f t="shared" si="3"/>
        <v>0</v>
      </c>
      <c r="I94" s="78"/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25.5">
      <c r="A95" s="85" t="s">
        <v>248</v>
      </c>
      <c r="B95" s="9"/>
      <c r="C95" s="9" t="s">
        <v>20</v>
      </c>
      <c r="D95" s="9" t="s">
        <v>81</v>
      </c>
      <c r="E95" s="10" t="s">
        <v>108</v>
      </c>
      <c r="F95" s="10" t="s">
        <v>247</v>
      </c>
      <c r="G95" s="10" t="s">
        <v>115</v>
      </c>
      <c r="H95" s="126">
        <f t="shared" si="3"/>
        <v>30100</v>
      </c>
      <c r="I95" s="78">
        <f>10000+10000+15000-15000+10100</f>
        <v>30100</v>
      </c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/>
    </row>
    <row r="96" spans="1:15" s="25" customFormat="1" ht="25.5">
      <c r="A96" s="22" t="s">
        <v>241</v>
      </c>
      <c r="B96" s="9"/>
      <c r="C96" s="9" t="s">
        <v>20</v>
      </c>
      <c r="D96" s="9" t="s">
        <v>81</v>
      </c>
      <c r="E96" s="9" t="s">
        <v>108</v>
      </c>
      <c r="F96" s="9" t="s">
        <v>242</v>
      </c>
      <c r="G96" s="9" t="s">
        <v>115</v>
      </c>
      <c r="H96" s="126">
        <f t="shared" si="3"/>
        <v>38000</v>
      </c>
      <c r="I96" s="78">
        <f>33100+15000-10100</f>
        <v>38000</v>
      </c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/>
    </row>
    <row r="97" spans="1:15" s="25" customFormat="1" ht="25.5" hidden="1">
      <c r="A97" s="85" t="s">
        <v>243</v>
      </c>
      <c r="B97" s="57"/>
      <c r="C97" s="9" t="s">
        <v>20</v>
      </c>
      <c r="D97" s="9" t="s">
        <v>81</v>
      </c>
      <c r="E97" s="9" t="s">
        <v>108</v>
      </c>
      <c r="F97" s="9" t="s">
        <v>244</v>
      </c>
      <c r="G97" s="9" t="s">
        <v>115</v>
      </c>
      <c r="H97" s="126">
        <f t="shared" si="3"/>
        <v>0</v>
      </c>
      <c r="I97" s="78">
        <f>10000-10000</f>
        <v>0</v>
      </c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/>
    </row>
    <row r="98" spans="1:15" s="25" customFormat="1" ht="12.75" hidden="1">
      <c r="A98" s="22"/>
      <c r="B98" s="9"/>
      <c r="C98" s="9"/>
      <c r="D98" s="9"/>
      <c r="E98" s="9"/>
      <c r="F98" s="9"/>
      <c r="G98" s="9"/>
      <c r="H98" s="126"/>
      <c r="I98" s="78"/>
      <c r="J98" s="78"/>
      <c r="K98" s="107"/>
      <c r="L98" s="107"/>
      <c r="M98" s="107"/>
      <c r="N98" s="107"/>
      <c r="O98" s="6"/>
    </row>
    <row r="99" spans="1:15" s="25" customFormat="1" ht="12.75" hidden="1">
      <c r="A99" s="22"/>
      <c r="B99" s="9"/>
      <c r="C99" s="9"/>
      <c r="D99" s="9"/>
      <c r="E99" s="9"/>
      <c r="F99" s="9"/>
      <c r="G99" s="9"/>
      <c r="H99" s="126"/>
      <c r="I99" s="78"/>
      <c r="J99" s="78"/>
      <c r="K99" s="107"/>
      <c r="L99" s="107"/>
      <c r="M99" s="107"/>
      <c r="N99" s="107"/>
      <c r="O99" s="6"/>
    </row>
    <row r="100" spans="1:15" s="25" customFormat="1" ht="12.75" hidden="1">
      <c r="A100" s="22" t="s">
        <v>188</v>
      </c>
      <c r="B100" s="9"/>
      <c r="C100" s="9" t="s">
        <v>20</v>
      </c>
      <c r="D100" s="9" t="s">
        <v>81</v>
      </c>
      <c r="E100" s="9" t="s">
        <v>108</v>
      </c>
      <c r="F100" s="9" t="s">
        <v>119</v>
      </c>
      <c r="G100" s="9" t="s">
        <v>115</v>
      </c>
      <c r="H100" s="126">
        <f>I100</f>
        <v>0</v>
      </c>
      <c r="I100" s="78"/>
      <c r="J100" s="78"/>
      <c r="K100" s="107" t="s">
        <v>76</v>
      </c>
      <c r="L100" s="107" t="s">
        <v>76</v>
      </c>
      <c r="M100" s="107" t="s">
        <v>76</v>
      </c>
      <c r="N100" s="107" t="s">
        <v>76</v>
      </c>
      <c r="O100" s="6" t="s">
        <v>76</v>
      </c>
    </row>
    <row r="101" spans="1:15" s="25" customFormat="1" ht="13.5">
      <c r="A101" s="681" t="s">
        <v>125</v>
      </c>
      <c r="B101" s="683"/>
      <c r="C101" s="27" t="s">
        <v>21</v>
      </c>
      <c r="D101" s="3"/>
      <c r="E101" s="27"/>
      <c r="F101" s="3"/>
      <c r="G101" s="3"/>
      <c r="H101" s="124">
        <f>K101</f>
        <v>683740</v>
      </c>
      <c r="I101" s="98"/>
      <c r="J101" s="97"/>
      <c r="K101" s="97">
        <f>K104</f>
        <v>683740</v>
      </c>
      <c r="L101" s="110"/>
      <c r="M101" s="110"/>
      <c r="N101" s="111" t="s">
        <v>107</v>
      </c>
      <c r="O101" s="28"/>
    </row>
    <row r="102" spans="1:15" s="25" customFormat="1" ht="12.75" hidden="1">
      <c r="A102" s="22" t="s">
        <v>4</v>
      </c>
      <c r="B102" s="9"/>
      <c r="C102" s="9"/>
      <c r="D102" s="9"/>
      <c r="E102" s="9"/>
      <c r="F102" s="9" t="s">
        <v>99</v>
      </c>
      <c r="G102" s="9" t="s">
        <v>109</v>
      </c>
      <c r="H102" s="126">
        <f>I102</f>
        <v>0</v>
      </c>
      <c r="I102" s="78"/>
      <c r="J102" s="78"/>
      <c r="K102" s="116" t="s">
        <v>76</v>
      </c>
      <c r="L102" s="107" t="s">
        <v>76</v>
      </c>
      <c r="M102" s="107" t="s">
        <v>76</v>
      </c>
      <c r="N102" s="107" t="s">
        <v>76</v>
      </c>
      <c r="O102" s="6" t="s">
        <v>76</v>
      </c>
    </row>
    <row r="103" spans="1:15" s="25" customFormat="1" ht="12.75" hidden="1">
      <c r="A103" s="22" t="s">
        <v>5</v>
      </c>
      <c r="B103" s="9"/>
      <c r="C103" s="9"/>
      <c r="D103" s="9"/>
      <c r="E103" s="9"/>
      <c r="F103" s="9"/>
      <c r="G103" s="9"/>
      <c r="H103" s="126">
        <f>I103</f>
        <v>0</v>
      </c>
      <c r="I103" s="78"/>
      <c r="J103" s="78"/>
      <c r="K103" s="116" t="s">
        <v>76</v>
      </c>
      <c r="L103" s="107" t="s">
        <v>76</v>
      </c>
      <c r="M103" s="107" t="s">
        <v>76</v>
      </c>
      <c r="N103" s="107" t="s">
        <v>76</v>
      </c>
      <c r="O103" s="6" t="s">
        <v>76</v>
      </c>
    </row>
    <row r="104" spans="1:15" s="25" customFormat="1" ht="13.5">
      <c r="A104" s="22" t="s">
        <v>12</v>
      </c>
      <c r="B104" s="9"/>
      <c r="C104" s="41" t="s">
        <v>21</v>
      </c>
      <c r="D104" s="9" t="s">
        <v>89</v>
      </c>
      <c r="E104" s="9" t="s">
        <v>126</v>
      </c>
      <c r="F104" s="9" t="s">
        <v>116</v>
      </c>
      <c r="G104" s="9" t="s">
        <v>115</v>
      </c>
      <c r="H104" s="126">
        <f aca="true" t="shared" si="4" ref="H104:H119">K104</f>
        <v>683740</v>
      </c>
      <c r="I104" s="107" t="s">
        <v>76</v>
      </c>
      <c r="J104" s="78"/>
      <c r="K104" s="391">
        <f>676900-23560+30400</f>
        <v>683740</v>
      </c>
      <c r="L104" s="107" t="s">
        <v>76</v>
      </c>
      <c r="M104" s="107" t="s">
        <v>76</v>
      </c>
      <c r="N104" s="107" t="s">
        <v>76</v>
      </c>
      <c r="O104" s="6" t="s">
        <v>76</v>
      </c>
    </row>
    <row r="105" spans="1:15" s="25" customFormat="1" ht="18.75" customHeight="1" hidden="1">
      <c r="A105" s="687" t="s">
        <v>127</v>
      </c>
      <c r="B105" s="688"/>
      <c r="C105" s="27" t="s">
        <v>22</v>
      </c>
      <c r="D105" s="3"/>
      <c r="E105" s="3"/>
      <c r="F105" s="3"/>
      <c r="G105" s="3"/>
      <c r="H105" s="131">
        <f t="shared" si="4"/>
        <v>0</v>
      </c>
      <c r="I105" s="117"/>
      <c r="J105" s="110"/>
      <c r="K105" s="118">
        <f>K106</f>
        <v>0</v>
      </c>
      <c r="L105" s="117"/>
      <c r="M105" s="117"/>
      <c r="N105" s="117"/>
      <c r="O105" s="6"/>
    </row>
    <row r="106" spans="1:15" s="25" customFormat="1" ht="13.5" customHeight="1" hidden="1">
      <c r="A106" s="22" t="s">
        <v>12</v>
      </c>
      <c r="B106" s="40"/>
      <c r="C106" s="41" t="s">
        <v>22</v>
      </c>
      <c r="D106" s="9" t="s">
        <v>81</v>
      </c>
      <c r="E106" s="9" t="s">
        <v>108</v>
      </c>
      <c r="F106" s="9" t="s">
        <v>116</v>
      </c>
      <c r="G106" s="9" t="s">
        <v>115</v>
      </c>
      <c r="H106" s="126">
        <f t="shared" si="4"/>
        <v>0</v>
      </c>
      <c r="I106" s="107" t="s">
        <v>76</v>
      </c>
      <c r="J106" s="78"/>
      <c r="K106" s="116"/>
      <c r="L106" s="107"/>
      <c r="M106" s="107"/>
      <c r="N106" s="107" t="s">
        <v>76</v>
      </c>
      <c r="O106" s="6"/>
    </row>
    <row r="107" spans="1:15" s="25" customFormat="1" ht="28.5" customHeight="1">
      <c r="A107" s="39" t="s">
        <v>190</v>
      </c>
      <c r="B107" s="55"/>
      <c r="C107" s="27" t="s">
        <v>41</v>
      </c>
      <c r="D107" s="3"/>
      <c r="E107" s="3"/>
      <c r="F107" s="3"/>
      <c r="G107" s="3"/>
      <c r="H107" s="124">
        <f t="shared" si="4"/>
        <v>24000</v>
      </c>
      <c r="I107" s="119"/>
      <c r="J107" s="97"/>
      <c r="K107" s="120">
        <f>K108</f>
        <v>24000</v>
      </c>
      <c r="L107" s="117"/>
      <c r="M107" s="117"/>
      <c r="N107" s="117"/>
      <c r="O107" s="6"/>
    </row>
    <row r="108" spans="1:15" s="25" customFormat="1" ht="12.75">
      <c r="A108" s="22" t="s">
        <v>12</v>
      </c>
      <c r="B108" s="40"/>
      <c r="C108" s="9" t="s">
        <v>41</v>
      </c>
      <c r="D108" s="9" t="s">
        <v>81</v>
      </c>
      <c r="E108" s="9" t="s">
        <v>154</v>
      </c>
      <c r="F108" s="9" t="s">
        <v>116</v>
      </c>
      <c r="G108" s="9" t="s">
        <v>115</v>
      </c>
      <c r="H108" s="126">
        <f t="shared" si="4"/>
        <v>24000</v>
      </c>
      <c r="I108" s="107" t="s">
        <v>76</v>
      </c>
      <c r="J108" s="78"/>
      <c r="K108" s="116">
        <v>24000</v>
      </c>
      <c r="L108" s="107"/>
      <c r="M108" s="107"/>
      <c r="N108" s="107" t="s">
        <v>76</v>
      </c>
      <c r="O108" s="6"/>
    </row>
    <row r="109" spans="1:15" s="25" customFormat="1" ht="36" customHeight="1">
      <c r="A109" s="681" t="s">
        <v>374</v>
      </c>
      <c r="B109" s="683"/>
      <c r="C109" s="27" t="s">
        <v>373</v>
      </c>
      <c r="D109" s="3"/>
      <c r="E109" s="3"/>
      <c r="F109" s="3"/>
      <c r="G109" s="3"/>
      <c r="H109" s="435">
        <f t="shared" si="4"/>
        <v>60000</v>
      </c>
      <c r="I109" s="436" t="s">
        <v>76</v>
      </c>
      <c r="J109" s="437"/>
      <c r="K109" s="435">
        <f>SUM(K110:K113)</f>
        <v>60000</v>
      </c>
      <c r="L109" s="435">
        <f>SUM(L110:L113)</f>
        <v>0</v>
      </c>
      <c r="M109" s="435">
        <f>SUM(M110:M113)</f>
        <v>0</v>
      </c>
      <c r="N109" s="435"/>
      <c r="O109" s="6"/>
    </row>
    <row r="110" spans="1:15" s="25" customFormat="1" ht="12.75">
      <c r="A110" s="8" t="s">
        <v>335</v>
      </c>
      <c r="B110" s="40"/>
      <c r="C110" s="60" t="s">
        <v>373</v>
      </c>
      <c r="D110" s="434" t="s">
        <v>332</v>
      </c>
      <c r="E110" s="9" t="s">
        <v>108</v>
      </c>
      <c r="F110" s="9" t="s">
        <v>116</v>
      </c>
      <c r="G110" s="9" t="s">
        <v>115</v>
      </c>
      <c r="H110" s="433">
        <f t="shared" si="4"/>
        <v>43200</v>
      </c>
      <c r="I110" s="107"/>
      <c r="J110" s="78"/>
      <c r="K110" s="116">
        <v>43200</v>
      </c>
      <c r="L110" s="107"/>
      <c r="M110" s="107"/>
      <c r="N110" s="107"/>
      <c r="O110" s="6"/>
    </row>
    <row r="111" spans="1:15" s="25" customFormat="1" ht="12.75">
      <c r="A111" s="8" t="s">
        <v>336</v>
      </c>
      <c r="B111" s="40"/>
      <c r="C111" s="60" t="s">
        <v>373</v>
      </c>
      <c r="D111" s="434" t="s">
        <v>214</v>
      </c>
      <c r="E111" s="9" t="s">
        <v>108</v>
      </c>
      <c r="F111" s="9" t="s">
        <v>116</v>
      </c>
      <c r="G111" s="9" t="s">
        <v>115</v>
      </c>
      <c r="H111" s="433">
        <f t="shared" si="4"/>
        <v>4800</v>
      </c>
      <c r="I111" s="107"/>
      <c r="J111" s="78"/>
      <c r="K111" s="116">
        <v>4800</v>
      </c>
      <c r="L111" s="107"/>
      <c r="M111" s="107"/>
      <c r="N111" s="107"/>
      <c r="O111" s="6"/>
    </row>
    <row r="112" spans="1:15" s="25" customFormat="1" ht="12.75">
      <c r="A112" s="8" t="s">
        <v>336</v>
      </c>
      <c r="B112" s="40"/>
      <c r="C112" s="60" t="s">
        <v>373</v>
      </c>
      <c r="D112" s="434" t="s">
        <v>333</v>
      </c>
      <c r="E112" s="9" t="s">
        <v>108</v>
      </c>
      <c r="F112" s="9" t="s">
        <v>116</v>
      </c>
      <c r="G112" s="9" t="s">
        <v>115</v>
      </c>
      <c r="H112" s="433">
        <f t="shared" si="4"/>
        <v>10800</v>
      </c>
      <c r="I112" s="107"/>
      <c r="J112" s="78"/>
      <c r="K112" s="116">
        <v>10800</v>
      </c>
      <c r="L112" s="107"/>
      <c r="M112" s="107"/>
      <c r="N112" s="107"/>
      <c r="O112" s="6"/>
    </row>
    <row r="113" spans="1:15" s="25" customFormat="1" ht="12.75">
      <c r="A113" s="8" t="s">
        <v>337</v>
      </c>
      <c r="B113" s="40"/>
      <c r="C113" s="60" t="s">
        <v>373</v>
      </c>
      <c r="D113" s="434" t="s">
        <v>216</v>
      </c>
      <c r="E113" s="9" t="s">
        <v>108</v>
      </c>
      <c r="F113" s="9" t="s">
        <v>116</v>
      </c>
      <c r="G113" s="9" t="s">
        <v>115</v>
      </c>
      <c r="H113" s="433">
        <f t="shared" si="4"/>
        <v>1200</v>
      </c>
      <c r="I113" s="107"/>
      <c r="J113" s="78"/>
      <c r="K113" s="116">
        <v>1200</v>
      </c>
      <c r="L113" s="107"/>
      <c r="M113" s="107"/>
      <c r="N113" s="107"/>
      <c r="O113" s="6"/>
    </row>
    <row r="114" spans="1:15" s="25" customFormat="1" ht="41.25" customHeight="1">
      <c r="A114" s="681" t="s">
        <v>334</v>
      </c>
      <c r="B114" s="683"/>
      <c r="C114" s="27" t="s">
        <v>211</v>
      </c>
      <c r="D114" s="3"/>
      <c r="E114" s="3"/>
      <c r="F114" s="3"/>
      <c r="G114" s="3"/>
      <c r="H114" s="124">
        <f t="shared" si="4"/>
        <v>104673</v>
      </c>
      <c r="I114" s="117" t="s">
        <v>76</v>
      </c>
      <c r="J114" s="110"/>
      <c r="K114" s="97">
        <f>SUM(K115:K119)</f>
        <v>104673</v>
      </c>
      <c r="L114" s="117"/>
      <c r="M114" s="117"/>
      <c r="N114" s="117" t="s">
        <v>76</v>
      </c>
      <c r="O114" s="6"/>
    </row>
    <row r="115" spans="1:15" s="25" customFormat="1" ht="12.75">
      <c r="A115" s="22" t="s">
        <v>12</v>
      </c>
      <c r="B115" s="57"/>
      <c r="C115" s="9" t="s">
        <v>204</v>
      </c>
      <c r="D115" s="9" t="s">
        <v>81</v>
      </c>
      <c r="E115" s="9" t="s">
        <v>108</v>
      </c>
      <c r="F115" s="9" t="s">
        <v>116</v>
      </c>
      <c r="G115" s="9" t="s">
        <v>115</v>
      </c>
      <c r="H115" s="126">
        <f t="shared" si="4"/>
        <v>80000</v>
      </c>
      <c r="I115" s="107" t="s">
        <v>76</v>
      </c>
      <c r="J115" s="107"/>
      <c r="K115" s="116">
        <v>80000</v>
      </c>
      <c r="L115" s="107"/>
      <c r="M115" s="107"/>
      <c r="N115" s="107" t="s">
        <v>76</v>
      </c>
      <c r="O115" s="6"/>
    </row>
    <row r="116" spans="1:15" s="25" customFormat="1" ht="12.75">
      <c r="A116" s="8" t="s">
        <v>502</v>
      </c>
      <c r="B116" s="9"/>
      <c r="C116" s="398" t="s">
        <v>211</v>
      </c>
      <c r="D116" s="398" t="s">
        <v>81</v>
      </c>
      <c r="E116" s="398" t="s">
        <v>108</v>
      </c>
      <c r="F116" s="398" t="s">
        <v>118</v>
      </c>
      <c r="G116" s="398" t="s">
        <v>115</v>
      </c>
      <c r="H116" s="399">
        <f t="shared" si="4"/>
        <v>24673</v>
      </c>
      <c r="I116" s="400" t="s">
        <v>76</v>
      </c>
      <c r="J116" s="397"/>
      <c r="K116" s="558">
        <v>24673</v>
      </c>
      <c r="L116" s="107"/>
      <c r="M116" s="107"/>
      <c r="N116" s="107" t="s">
        <v>76</v>
      </c>
      <c r="O116" s="64" t="s">
        <v>76</v>
      </c>
    </row>
    <row r="117" spans="1:15" s="25" customFormat="1" ht="12.75">
      <c r="A117" s="8" t="s">
        <v>336</v>
      </c>
      <c r="B117" s="9"/>
      <c r="C117" s="9" t="s">
        <v>211</v>
      </c>
      <c r="D117" s="393" t="s">
        <v>214</v>
      </c>
      <c r="E117" s="9" t="s">
        <v>108</v>
      </c>
      <c r="F117" s="9" t="s">
        <v>116</v>
      </c>
      <c r="G117" s="9" t="s">
        <v>115</v>
      </c>
      <c r="H117" s="126">
        <f t="shared" si="4"/>
        <v>0</v>
      </c>
      <c r="I117" s="107" t="s">
        <v>76</v>
      </c>
      <c r="J117" s="78"/>
      <c r="K117" s="78"/>
      <c r="L117" s="107"/>
      <c r="M117" s="107"/>
      <c r="N117" s="107" t="s">
        <v>76</v>
      </c>
      <c r="O117" s="6"/>
    </row>
    <row r="118" spans="1:15" s="25" customFormat="1" ht="12.75">
      <c r="A118" s="8" t="s">
        <v>336</v>
      </c>
      <c r="B118" s="9"/>
      <c r="C118" s="9" t="s">
        <v>211</v>
      </c>
      <c r="D118" s="393" t="s">
        <v>333</v>
      </c>
      <c r="E118" s="9" t="s">
        <v>108</v>
      </c>
      <c r="F118" s="9" t="s">
        <v>116</v>
      </c>
      <c r="G118" s="9" t="s">
        <v>115</v>
      </c>
      <c r="H118" s="126">
        <f t="shared" si="4"/>
        <v>0</v>
      </c>
      <c r="I118" s="107" t="s">
        <v>76</v>
      </c>
      <c r="J118" s="78"/>
      <c r="K118" s="78"/>
      <c r="L118" s="107"/>
      <c r="M118" s="107"/>
      <c r="N118" s="107" t="s">
        <v>76</v>
      </c>
      <c r="O118" s="6"/>
    </row>
    <row r="119" spans="1:15" s="25" customFormat="1" ht="12.75">
      <c r="A119" s="8" t="s">
        <v>337</v>
      </c>
      <c r="B119" s="9"/>
      <c r="C119" s="9" t="s">
        <v>211</v>
      </c>
      <c r="D119" s="393" t="s">
        <v>216</v>
      </c>
      <c r="E119" s="9" t="s">
        <v>108</v>
      </c>
      <c r="F119" s="9" t="s">
        <v>116</v>
      </c>
      <c r="G119" s="9" t="s">
        <v>115</v>
      </c>
      <c r="H119" s="126">
        <f t="shared" si="4"/>
        <v>0</v>
      </c>
      <c r="I119" s="107" t="s">
        <v>76</v>
      </c>
      <c r="J119" s="78"/>
      <c r="K119" s="78"/>
      <c r="L119" s="107"/>
      <c r="M119" s="107"/>
      <c r="N119" s="107" t="s">
        <v>76</v>
      </c>
      <c r="O119" s="6"/>
    </row>
    <row r="120" spans="1:15" s="25" customFormat="1" ht="41.25" customHeight="1">
      <c r="A120" s="681" t="s">
        <v>360</v>
      </c>
      <c r="B120" s="683"/>
      <c r="C120" s="27" t="s">
        <v>51</v>
      </c>
      <c r="D120" s="43"/>
      <c r="E120" s="42"/>
      <c r="F120" s="42"/>
      <c r="G120" s="42"/>
      <c r="H120" s="124"/>
      <c r="I120" s="119"/>
      <c r="J120" s="97"/>
      <c r="K120" s="120">
        <f>SUM(K122:K130)</f>
        <v>411025.7</v>
      </c>
      <c r="L120" s="119"/>
      <c r="M120" s="119"/>
      <c r="N120" s="119"/>
      <c r="O120" s="6"/>
    </row>
    <row r="121" spans="1:15" s="25" customFormat="1" ht="12.75" hidden="1">
      <c r="A121" s="61" t="s">
        <v>11</v>
      </c>
      <c r="B121" s="59"/>
      <c r="C121" s="59" t="s">
        <v>51</v>
      </c>
      <c r="D121" s="59" t="s">
        <v>81</v>
      </c>
      <c r="E121" s="59" t="s">
        <v>218</v>
      </c>
      <c r="F121" s="59" t="s">
        <v>121</v>
      </c>
      <c r="G121" s="59" t="s">
        <v>115</v>
      </c>
      <c r="H121" s="127">
        <f aca="true" t="shared" si="5" ref="H121:H130">K121</f>
        <v>0</v>
      </c>
      <c r="I121" s="101" t="s">
        <v>76</v>
      </c>
      <c r="J121" s="102"/>
      <c r="K121" s="104"/>
      <c r="L121" s="102"/>
      <c r="M121" s="100"/>
      <c r="N121" s="101" t="s">
        <v>76</v>
      </c>
      <c r="O121" s="6"/>
    </row>
    <row r="122" spans="1:15" s="25" customFormat="1" ht="12.75">
      <c r="A122" s="684" t="s">
        <v>12</v>
      </c>
      <c r="B122" s="9"/>
      <c r="C122" s="678" t="s">
        <v>51</v>
      </c>
      <c r="D122" s="9" t="s">
        <v>81</v>
      </c>
      <c r="E122" s="678" t="s">
        <v>218</v>
      </c>
      <c r="F122" s="678" t="s">
        <v>116</v>
      </c>
      <c r="G122" s="678" t="s">
        <v>115</v>
      </c>
      <c r="H122" s="126">
        <f t="shared" si="5"/>
        <v>201123.7</v>
      </c>
      <c r="I122" s="107" t="s">
        <v>76</v>
      </c>
      <c r="J122" s="107"/>
      <c r="K122" s="116">
        <f>195152.7+2985.5+2985.5</f>
        <v>201123.7</v>
      </c>
      <c r="L122" s="107"/>
      <c r="M122" s="107"/>
      <c r="N122" s="107" t="s">
        <v>76</v>
      </c>
      <c r="O122" s="6"/>
    </row>
    <row r="123" spans="1:15" s="25" customFormat="1" ht="12.75">
      <c r="A123" s="685"/>
      <c r="B123" s="9"/>
      <c r="C123" s="679"/>
      <c r="D123" s="9" t="s">
        <v>219</v>
      </c>
      <c r="E123" s="679"/>
      <c r="F123" s="679"/>
      <c r="G123" s="679"/>
      <c r="H123" s="126">
        <f t="shared" si="5"/>
        <v>188911.8</v>
      </c>
      <c r="I123" s="107" t="s">
        <v>76</v>
      </c>
      <c r="J123" s="107"/>
      <c r="K123" s="116">
        <f>148024.8+20443.5+20443.5</f>
        <v>188911.8</v>
      </c>
      <c r="L123" s="107"/>
      <c r="M123" s="107"/>
      <c r="N123" s="107" t="s">
        <v>76</v>
      </c>
      <c r="O123" s="6"/>
    </row>
    <row r="124" spans="1:15" s="25" customFormat="1" ht="12.75">
      <c r="A124" s="686"/>
      <c r="B124" s="9"/>
      <c r="C124" s="680"/>
      <c r="D124" s="9" t="s">
        <v>196</v>
      </c>
      <c r="E124" s="680"/>
      <c r="F124" s="680"/>
      <c r="G124" s="680"/>
      <c r="H124" s="126">
        <f t="shared" si="5"/>
        <v>12136.6</v>
      </c>
      <c r="I124" s="107"/>
      <c r="J124" s="107"/>
      <c r="K124" s="116">
        <f>7593.6+2271.5+2271.5</f>
        <v>12136.6</v>
      </c>
      <c r="L124" s="107"/>
      <c r="M124" s="107"/>
      <c r="N124" s="107" t="s">
        <v>76</v>
      </c>
      <c r="O124" s="6"/>
    </row>
    <row r="125" spans="1:15" s="25" customFormat="1" ht="12.75">
      <c r="A125" s="431" t="s">
        <v>362</v>
      </c>
      <c r="B125" s="9"/>
      <c r="C125" s="9" t="s">
        <v>51</v>
      </c>
      <c r="D125" s="9" t="s">
        <v>196</v>
      </c>
      <c r="E125" s="9" t="s">
        <v>218</v>
      </c>
      <c r="F125" s="9" t="s">
        <v>361</v>
      </c>
      <c r="G125" s="9" t="s">
        <v>115</v>
      </c>
      <c r="H125" s="126">
        <f t="shared" si="5"/>
        <v>2272.2</v>
      </c>
      <c r="I125" s="107"/>
      <c r="J125" s="107"/>
      <c r="K125" s="116">
        <v>2272.2</v>
      </c>
      <c r="L125" s="107"/>
      <c r="M125" s="107"/>
      <c r="N125" s="107" t="s">
        <v>76</v>
      </c>
      <c r="O125" s="6"/>
    </row>
    <row r="126" spans="1:15" s="25" customFormat="1" ht="39.75" customHeight="1">
      <c r="A126" s="431" t="s">
        <v>363</v>
      </c>
      <c r="B126" s="9"/>
      <c r="C126" s="9" t="s">
        <v>51</v>
      </c>
      <c r="D126" s="9" t="s">
        <v>196</v>
      </c>
      <c r="E126" s="9" t="s">
        <v>218</v>
      </c>
      <c r="F126" s="9" t="s">
        <v>240</v>
      </c>
      <c r="G126" s="9" t="s">
        <v>115</v>
      </c>
      <c r="H126" s="126">
        <f t="shared" si="5"/>
        <v>2625</v>
      </c>
      <c r="I126" s="107"/>
      <c r="J126" s="107"/>
      <c r="K126" s="116">
        <v>2625</v>
      </c>
      <c r="L126" s="107"/>
      <c r="M126" s="107"/>
      <c r="N126" s="107" t="s">
        <v>76</v>
      </c>
      <c r="O126" s="6"/>
    </row>
    <row r="127" spans="1:15" s="25" customFormat="1" ht="28.5" customHeight="1">
      <c r="A127" s="431" t="s">
        <v>364</v>
      </c>
      <c r="B127" s="9"/>
      <c r="C127" s="9" t="s">
        <v>51</v>
      </c>
      <c r="D127" s="9" t="s">
        <v>196</v>
      </c>
      <c r="E127" s="9" t="s">
        <v>218</v>
      </c>
      <c r="F127" s="9" t="s">
        <v>242</v>
      </c>
      <c r="G127" s="9" t="s">
        <v>115</v>
      </c>
      <c r="H127" s="126">
        <f t="shared" si="5"/>
        <v>3956.4</v>
      </c>
      <c r="I127" s="107"/>
      <c r="J127" s="107"/>
      <c r="K127" s="116">
        <v>3956.4</v>
      </c>
      <c r="L127" s="107"/>
      <c r="M127" s="107"/>
      <c r="N127" s="107" t="s">
        <v>76</v>
      </c>
      <c r="O127" s="6"/>
    </row>
    <row r="128" spans="1:15" s="25" customFormat="1" ht="12.75" hidden="1">
      <c r="A128" s="22" t="s">
        <v>359</v>
      </c>
      <c r="B128" s="9"/>
      <c r="C128" s="9" t="s">
        <v>51</v>
      </c>
      <c r="D128" s="9" t="s">
        <v>81</v>
      </c>
      <c r="E128" s="9" t="s">
        <v>218</v>
      </c>
      <c r="F128" s="9" t="s">
        <v>118</v>
      </c>
      <c r="G128" s="9" t="s">
        <v>115</v>
      </c>
      <c r="H128" s="126">
        <f t="shared" si="5"/>
        <v>0</v>
      </c>
      <c r="I128" s="107" t="s">
        <v>76</v>
      </c>
      <c r="J128" s="107"/>
      <c r="K128" s="116"/>
      <c r="L128" s="101"/>
      <c r="M128" s="101"/>
      <c r="N128" s="101" t="s">
        <v>76</v>
      </c>
      <c r="O128" s="6"/>
    </row>
    <row r="129" spans="1:15" s="25" customFormat="1" ht="12.75" hidden="1">
      <c r="A129" s="684" t="s">
        <v>221</v>
      </c>
      <c r="B129" s="9"/>
      <c r="C129" s="678" t="s">
        <v>51</v>
      </c>
      <c r="D129" s="9" t="s">
        <v>81</v>
      </c>
      <c r="E129" s="678" t="s">
        <v>218</v>
      </c>
      <c r="F129" s="678" t="s">
        <v>119</v>
      </c>
      <c r="G129" s="678" t="s">
        <v>115</v>
      </c>
      <c r="H129" s="126">
        <f t="shared" si="5"/>
        <v>0</v>
      </c>
      <c r="I129" s="107" t="s">
        <v>76</v>
      </c>
      <c r="J129" s="107"/>
      <c r="K129" s="116"/>
      <c r="L129" s="101"/>
      <c r="M129" s="101"/>
      <c r="N129" s="101" t="s">
        <v>76</v>
      </c>
      <c r="O129" s="6"/>
    </row>
    <row r="130" spans="1:15" s="25" customFormat="1" ht="12.75" hidden="1">
      <c r="A130" s="686"/>
      <c r="B130" s="9"/>
      <c r="C130" s="680"/>
      <c r="D130" s="9" t="s">
        <v>196</v>
      </c>
      <c r="E130" s="680"/>
      <c r="F130" s="680"/>
      <c r="G130" s="680"/>
      <c r="H130" s="126">
        <f t="shared" si="5"/>
        <v>0</v>
      </c>
      <c r="I130" s="107" t="s">
        <v>76</v>
      </c>
      <c r="J130" s="107"/>
      <c r="K130" s="116"/>
      <c r="L130" s="101"/>
      <c r="M130" s="101"/>
      <c r="N130" s="101" t="s">
        <v>76</v>
      </c>
      <c r="O130" s="6"/>
    </row>
    <row r="131" spans="1:15" s="25" customFormat="1" ht="15" customHeight="1">
      <c r="A131" s="681" t="s">
        <v>210</v>
      </c>
      <c r="B131" s="683"/>
      <c r="C131" s="27" t="s">
        <v>163</v>
      </c>
      <c r="D131" s="44"/>
      <c r="E131" s="3"/>
      <c r="F131" s="3"/>
      <c r="G131" s="3"/>
      <c r="H131" s="131"/>
      <c r="I131" s="117"/>
      <c r="J131" s="110"/>
      <c r="K131" s="120">
        <f>K132+K133</f>
        <v>950000</v>
      </c>
      <c r="L131" s="117"/>
      <c r="M131" s="117"/>
      <c r="N131" s="117"/>
      <c r="O131" s="6"/>
    </row>
    <row r="132" spans="1:15" s="25" customFormat="1" ht="15.75" customHeight="1">
      <c r="A132" s="22" t="s">
        <v>11</v>
      </c>
      <c r="B132" s="40"/>
      <c r="C132" s="41" t="s">
        <v>163</v>
      </c>
      <c r="D132" s="6" t="s">
        <v>162</v>
      </c>
      <c r="E132" s="9" t="s">
        <v>157</v>
      </c>
      <c r="F132" s="46">
        <v>225</v>
      </c>
      <c r="G132" s="9" t="s">
        <v>115</v>
      </c>
      <c r="H132" s="129" t="s">
        <v>76</v>
      </c>
      <c r="I132" s="107" t="s">
        <v>76</v>
      </c>
      <c r="J132" s="78"/>
      <c r="K132" s="116">
        <v>950000</v>
      </c>
      <c r="L132" s="107"/>
      <c r="M132" s="107"/>
      <c r="N132" s="107" t="s">
        <v>76</v>
      </c>
      <c r="O132" s="6"/>
    </row>
    <row r="133" spans="1:15" s="25" customFormat="1" ht="13.5" hidden="1">
      <c r="A133" s="47" t="s">
        <v>14</v>
      </c>
      <c r="B133" s="40"/>
      <c r="C133" s="41" t="s">
        <v>163</v>
      </c>
      <c r="D133" s="6" t="s">
        <v>162</v>
      </c>
      <c r="E133" s="9" t="s">
        <v>157</v>
      </c>
      <c r="F133" s="9" t="s">
        <v>118</v>
      </c>
      <c r="G133" s="9" t="s">
        <v>115</v>
      </c>
      <c r="H133" s="126"/>
      <c r="I133" s="107"/>
      <c r="J133" s="78"/>
      <c r="K133" s="116"/>
      <c r="L133" s="107"/>
      <c r="M133" s="107"/>
      <c r="N133" s="107"/>
      <c r="O133" s="6"/>
    </row>
    <row r="134" spans="1:15" s="25" customFormat="1" ht="15" customHeight="1" hidden="1">
      <c r="A134" s="681" t="s">
        <v>177</v>
      </c>
      <c r="B134" s="683"/>
      <c r="C134" s="27" t="s">
        <v>23</v>
      </c>
      <c r="D134" s="44"/>
      <c r="E134" s="3"/>
      <c r="F134" s="3"/>
      <c r="G134" s="3"/>
      <c r="H134" s="131"/>
      <c r="I134" s="117"/>
      <c r="J134" s="110"/>
      <c r="K134" s="118">
        <f>K135</f>
        <v>0</v>
      </c>
      <c r="L134" s="117"/>
      <c r="M134" s="117"/>
      <c r="N134" s="117"/>
      <c r="O134" s="6"/>
    </row>
    <row r="135" spans="1:15" s="25" customFormat="1" ht="15" customHeight="1" hidden="1">
      <c r="A135" s="22" t="s">
        <v>178</v>
      </c>
      <c r="B135" s="9"/>
      <c r="C135" s="9" t="s">
        <v>23</v>
      </c>
      <c r="D135" s="9" t="s">
        <v>81</v>
      </c>
      <c r="E135" s="9" t="s">
        <v>108</v>
      </c>
      <c r="F135" s="9" t="s">
        <v>116</v>
      </c>
      <c r="G135" s="9" t="s">
        <v>115</v>
      </c>
      <c r="H135" s="126"/>
      <c r="I135" s="107"/>
      <c r="J135" s="78"/>
      <c r="K135" s="116"/>
      <c r="L135" s="107"/>
      <c r="M135" s="107"/>
      <c r="N135" s="107"/>
      <c r="O135" s="6"/>
    </row>
    <row r="136" spans="1:15" s="25" customFormat="1" ht="29.25" customHeight="1" hidden="1">
      <c r="A136" s="681" t="s">
        <v>191</v>
      </c>
      <c r="B136" s="683"/>
      <c r="C136" s="27" t="s">
        <v>192</v>
      </c>
      <c r="D136" s="3"/>
      <c r="E136" s="3"/>
      <c r="F136" s="3"/>
      <c r="G136" s="3"/>
      <c r="H136" s="124">
        <f aca="true" t="shared" si="6" ref="H136:H144">K136</f>
        <v>0</v>
      </c>
      <c r="I136" s="119"/>
      <c r="J136" s="97"/>
      <c r="K136" s="97">
        <f>K137+K138</f>
        <v>0</v>
      </c>
      <c r="L136" s="117"/>
      <c r="M136" s="117"/>
      <c r="N136" s="117"/>
      <c r="O136" s="6"/>
    </row>
    <row r="137" spans="1:15" s="25" customFormat="1" ht="16.5" customHeight="1" hidden="1">
      <c r="A137" s="61" t="s">
        <v>195</v>
      </c>
      <c r="B137" s="67"/>
      <c r="C137" s="59" t="s">
        <v>192</v>
      </c>
      <c r="D137" s="59" t="s">
        <v>193</v>
      </c>
      <c r="E137" s="59" t="s">
        <v>108</v>
      </c>
      <c r="F137" s="59" t="s">
        <v>121</v>
      </c>
      <c r="G137" s="59" t="s">
        <v>194</v>
      </c>
      <c r="H137" s="127">
        <f t="shared" si="6"/>
        <v>0</v>
      </c>
      <c r="I137" s="101" t="s">
        <v>76</v>
      </c>
      <c r="J137" s="100"/>
      <c r="K137" s="104"/>
      <c r="L137" s="101"/>
      <c r="M137" s="101"/>
      <c r="N137" s="101" t="s">
        <v>76</v>
      </c>
      <c r="O137" s="6"/>
    </row>
    <row r="138" spans="1:15" s="25" customFormat="1" ht="16.5" customHeight="1" hidden="1">
      <c r="A138" s="61" t="s">
        <v>195</v>
      </c>
      <c r="B138" s="68"/>
      <c r="C138" s="59" t="s">
        <v>192</v>
      </c>
      <c r="D138" s="59" t="s">
        <v>196</v>
      </c>
      <c r="E138" s="59" t="s">
        <v>108</v>
      </c>
      <c r="F138" s="59" t="s">
        <v>121</v>
      </c>
      <c r="G138" s="59" t="s">
        <v>194</v>
      </c>
      <c r="H138" s="127">
        <f t="shared" si="6"/>
        <v>0</v>
      </c>
      <c r="I138" s="101" t="s">
        <v>76</v>
      </c>
      <c r="J138" s="100"/>
      <c r="K138" s="104"/>
      <c r="L138" s="101"/>
      <c r="M138" s="101"/>
      <c r="N138" s="101" t="s">
        <v>76</v>
      </c>
      <c r="O138" s="6"/>
    </row>
    <row r="139" spans="1:15" s="25" customFormat="1" ht="16.5" customHeight="1">
      <c r="A139" s="39" t="s">
        <v>222</v>
      </c>
      <c r="B139" s="38"/>
      <c r="C139" s="27" t="s">
        <v>203</v>
      </c>
      <c r="D139" s="3"/>
      <c r="E139" s="3"/>
      <c r="F139" s="3"/>
      <c r="G139" s="3"/>
      <c r="H139" s="124">
        <f t="shared" si="6"/>
        <v>10000</v>
      </c>
      <c r="I139" s="117" t="s">
        <v>76</v>
      </c>
      <c r="J139" s="110"/>
      <c r="K139" s="120">
        <f>K140</f>
        <v>10000</v>
      </c>
      <c r="L139" s="117"/>
      <c r="M139" s="117"/>
      <c r="N139" s="117" t="s">
        <v>76</v>
      </c>
      <c r="O139" s="6"/>
    </row>
    <row r="140" spans="1:15" s="25" customFormat="1" ht="24" customHeight="1">
      <c r="A140" s="22" t="s">
        <v>236</v>
      </c>
      <c r="B140" s="40"/>
      <c r="C140" s="9" t="s">
        <v>203</v>
      </c>
      <c r="D140" s="9" t="s">
        <v>81</v>
      </c>
      <c r="E140" s="9" t="s">
        <v>108</v>
      </c>
      <c r="F140" s="9" t="s">
        <v>205</v>
      </c>
      <c r="G140" s="9" t="s">
        <v>123</v>
      </c>
      <c r="H140" s="126">
        <f t="shared" si="6"/>
        <v>10000</v>
      </c>
      <c r="I140" s="107" t="s">
        <v>76</v>
      </c>
      <c r="J140" s="78"/>
      <c r="K140" s="121">
        <v>10000</v>
      </c>
      <c r="L140" s="107"/>
      <c r="M140" s="107"/>
      <c r="N140" s="107" t="s">
        <v>76</v>
      </c>
      <c r="O140" s="6"/>
    </row>
    <row r="141" spans="1:15" s="25" customFormat="1" ht="12.75">
      <c r="A141" s="75" t="s">
        <v>226</v>
      </c>
      <c r="B141" s="58"/>
      <c r="C141" s="42" t="s">
        <v>23</v>
      </c>
      <c r="D141" s="42"/>
      <c r="E141" s="42"/>
      <c r="F141" s="42"/>
      <c r="G141" s="42"/>
      <c r="H141" s="125">
        <f t="shared" si="6"/>
        <v>90100</v>
      </c>
      <c r="I141" s="119"/>
      <c r="J141" s="98"/>
      <c r="K141" s="97">
        <f>K142</f>
        <v>90100</v>
      </c>
      <c r="L141" s="119"/>
      <c r="M141" s="119"/>
      <c r="N141" s="119"/>
      <c r="O141" s="6"/>
    </row>
    <row r="142" spans="1:15" s="25" customFormat="1" ht="12.75">
      <c r="A142" s="76" t="s">
        <v>227</v>
      </c>
      <c r="B142" s="57"/>
      <c r="C142" s="9" t="s">
        <v>23</v>
      </c>
      <c r="D142" s="9" t="s">
        <v>228</v>
      </c>
      <c r="E142" s="9" t="s">
        <v>157</v>
      </c>
      <c r="F142" s="9" t="s">
        <v>116</v>
      </c>
      <c r="G142" s="9" t="s">
        <v>115</v>
      </c>
      <c r="H142" s="129">
        <f t="shared" si="6"/>
        <v>90100</v>
      </c>
      <c r="I142" s="107"/>
      <c r="J142" s="26"/>
      <c r="K142" s="78">
        <v>90100</v>
      </c>
      <c r="L142" s="107"/>
      <c r="M142" s="107"/>
      <c r="N142" s="107"/>
      <c r="O142" s="6"/>
    </row>
    <row r="143" spans="1:15" s="25" customFormat="1" ht="12.75" hidden="1">
      <c r="A143" s="77" t="s">
        <v>231</v>
      </c>
      <c r="B143" s="58"/>
      <c r="C143" s="87" t="s">
        <v>230</v>
      </c>
      <c r="D143" s="53"/>
      <c r="E143" s="53"/>
      <c r="F143" s="53"/>
      <c r="G143" s="53"/>
      <c r="H143" s="124">
        <f t="shared" si="6"/>
        <v>0</v>
      </c>
      <c r="I143" s="119"/>
      <c r="J143" s="97"/>
      <c r="K143" s="98">
        <f>K144</f>
        <v>0</v>
      </c>
      <c r="L143" s="119"/>
      <c r="M143" s="119"/>
      <c r="N143" s="119"/>
      <c r="O143" s="6"/>
    </row>
    <row r="144" spans="1:15" s="25" customFormat="1" ht="12.75" hidden="1">
      <c r="A144" s="22" t="s">
        <v>227</v>
      </c>
      <c r="B144" s="57"/>
      <c r="C144" s="9" t="s">
        <v>230</v>
      </c>
      <c r="D144" s="9" t="s">
        <v>81</v>
      </c>
      <c r="E144" s="9" t="s">
        <v>232</v>
      </c>
      <c r="F144" s="9" t="s">
        <v>116</v>
      </c>
      <c r="G144" s="9" t="s">
        <v>115</v>
      </c>
      <c r="H144" s="126">
        <f t="shared" si="6"/>
        <v>0</v>
      </c>
      <c r="I144" s="107"/>
      <c r="J144" s="78"/>
      <c r="K144" s="26"/>
      <c r="L144" s="107"/>
      <c r="M144" s="107"/>
      <c r="N144" s="107"/>
      <c r="O144" s="6"/>
    </row>
    <row r="145" spans="1:15" s="25" customFormat="1" ht="29.25" customHeight="1">
      <c r="A145" s="681" t="s">
        <v>224</v>
      </c>
      <c r="B145" s="682"/>
      <c r="C145" s="27" t="s">
        <v>80</v>
      </c>
      <c r="D145" s="3"/>
      <c r="E145" s="3"/>
      <c r="F145" s="3"/>
      <c r="G145" s="3"/>
      <c r="H145" s="124">
        <f aca="true" t="shared" si="7" ref="H145:H156">N145</f>
        <v>102004.12000000001</v>
      </c>
      <c r="I145" s="119"/>
      <c r="J145" s="119"/>
      <c r="K145" s="119"/>
      <c r="L145" s="119"/>
      <c r="M145" s="119"/>
      <c r="N145" s="97">
        <f>SUM(N146:N156)</f>
        <v>102004.12000000001</v>
      </c>
      <c r="O145" s="6"/>
    </row>
    <row r="146" spans="1:15" s="25" customFormat="1" ht="13.5" customHeight="1" hidden="1">
      <c r="A146" s="45" t="s">
        <v>8</v>
      </c>
      <c r="B146" s="8"/>
      <c r="C146" s="9" t="s">
        <v>80</v>
      </c>
      <c r="D146" s="9" t="s">
        <v>81</v>
      </c>
      <c r="E146" s="9" t="s">
        <v>108</v>
      </c>
      <c r="F146" s="9" t="s">
        <v>128</v>
      </c>
      <c r="G146" s="9" t="s">
        <v>115</v>
      </c>
      <c r="H146" s="126">
        <f t="shared" si="7"/>
        <v>0</v>
      </c>
      <c r="I146" s="107" t="s">
        <v>76</v>
      </c>
      <c r="J146" s="107" t="s">
        <v>76</v>
      </c>
      <c r="K146" s="107" t="s">
        <v>76</v>
      </c>
      <c r="L146" s="107" t="s">
        <v>76</v>
      </c>
      <c r="M146" s="107"/>
      <c r="N146" s="122"/>
      <c r="O146" s="6"/>
    </row>
    <row r="147" spans="1:15" s="25" customFormat="1" ht="13.5" customHeight="1" hidden="1">
      <c r="A147" s="22" t="s">
        <v>11</v>
      </c>
      <c r="B147" s="9"/>
      <c r="C147" s="9" t="s">
        <v>80</v>
      </c>
      <c r="D147" s="9" t="s">
        <v>81</v>
      </c>
      <c r="E147" s="9" t="s">
        <v>108</v>
      </c>
      <c r="F147" s="9" t="s">
        <v>121</v>
      </c>
      <c r="G147" s="9" t="s">
        <v>115</v>
      </c>
      <c r="H147" s="126">
        <f t="shared" si="7"/>
        <v>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/>
      <c r="N147" s="122"/>
      <c r="O147" s="6"/>
    </row>
    <row r="148" spans="1:15" s="25" customFormat="1" ht="13.5" customHeight="1">
      <c r="A148" s="22" t="s">
        <v>11</v>
      </c>
      <c r="B148" s="9"/>
      <c r="C148" s="9" t="s">
        <v>80</v>
      </c>
      <c r="D148" s="9" t="s">
        <v>81</v>
      </c>
      <c r="E148" s="9" t="s">
        <v>218</v>
      </c>
      <c r="F148" s="9" t="s">
        <v>121</v>
      </c>
      <c r="G148" s="9" t="s">
        <v>115</v>
      </c>
      <c r="H148" s="126">
        <f t="shared" si="7"/>
        <v>2815.2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 t="s">
        <v>76</v>
      </c>
      <c r="N148" s="78">
        <v>2815.2</v>
      </c>
      <c r="O148" s="6"/>
    </row>
    <row r="149" spans="1:15" s="25" customFormat="1" ht="13.5" customHeight="1">
      <c r="A149" s="22" t="s">
        <v>12</v>
      </c>
      <c r="B149" s="9"/>
      <c r="C149" s="9" t="s">
        <v>80</v>
      </c>
      <c r="D149" s="9" t="s">
        <v>81</v>
      </c>
      <c r="E149" s="9" t="s">
        <v>218</v>
      </c>
      <c r="F149" s="9" t="s">
        <v>116</v>
      </c>
      <c r="G149" s="9" t="s">
        <v>115</v>
      </c>
      <c r="H149" s="126">
        <f t="shared" si="7"/>
        <v>13427.57</v>
      </c>
      <c r="I149" s="107" t="s">
        <v>76</v>
      </c>
      <c r="J149" s="107"/>
      <c r="K149" s="107" t="s">
        <v>76</v>
      </c>
      <c r="L149" s="107" t="s">
        <v>76</v>
      </c>
      <c r="M149" s="107"/>
      <c r="N149" s="433">
        <v>13427.57</v>
      </c>
      <c r="O149" s="6"/>
    </row>
    <row r="150" spans="1:15" s="25" customFormat="1" ht="13.5" customHeight="1">
      <c r="A150" s="22" t="s">
        <v>362</v>
      </c>
      <c r="B150" s="9"/>
      <c r="C150" s="9" t="s">
        <v>80</v>
      </c>
      <c r="D150" s="9" t="s">
        <v>81</v>
      </c>
      <c r="E150" s="9" t="s">
        <v>218</v>
      </c>
      <c r="F150" s="9" t="s">
        <v>361</v>
      </c>
      <c r="G150" s="9" t="s">
        <v>115</v>
      </c>
      <c r="H150" s="126">
        <f t="shared" si="7"/>
        <v>3408.3</v>
      </c>
      <c r="I150" s="107"/>
      <c r="J150" s="107"/>
      <c r="K150" s="107"/>
      <c r="L150" s="107"/>
      <c r="M150" s="107"/>
      <c r="N150" s="433">
        <v>3408.3</v>
      </c>
      <c r="O150" s="6"/>
    </row>
    <row r="151" spans="1:15" s="25" customFormat="1" ht="13.5" customHeight="1">
      <c r="A151" s="22" t="s">
        <v>12</v>
      </c>
      <c r="B151" s="9"/>
      <c r="C151" s="9" t="s">
        <v>80</v>
      </c>
      <c r="D151" s="9" t="s">
        <v>81</v>
      </c>
      <c r="E151" s="9" t="s">
        <v>108</v>
      </c>
      <c r="F151" s="9" t="s">
        <v>116</v>
      </c>
      <c r="G151" s="9" t="s">
        <v>115</v>
      </c>
      <c r="H151" s="126">
        <f t="shared" si="7"/>
        <v>30000</v>
      </c>
      <c r="I151" s="107" t="s">
        <v>76</v>
      </c>
      <c r="J151" s="107" t="s">
        <v>76</v>
      </c>
      <c r="K151" s="107" t="s">
        <v>76</v>
      </c>
      <c r="L151" s="107" t="s">
        <v>76</v>
      </c>
      <c r="M151" s="107" t="s">
        <v>76</v>
      </c>
      <c r="N151" s="78">
        <v>30000</v>
      </c>
      <c r="O151" s="6"/>
    </row>
    <row r="152" spans="1:15" s="25" customFormat="1" ht="13.5" customHeight="1">
      <c r="A152" s="22" t="s">
        <v>14</v>
      </c>
      <c r="B152" s="9"/>
      <c r="C152" s="9" t="s">
        <v>80</v>
      </c>
      <c r="D152" s="9" t="s">
        <v>81</v>
      </c>
      <c r="E152" s="9" t="s">
        <v>108</v>
      </c>
      <c r="F152" s="9" t="s">
        <v>118</v>
      </c>
      <c r="G152" s="9" t="s">
        <v>115</v>
      </c>
      <c r="H152" s="126">
        <f t="shared" si="7"/>
        <v>35000</v>
      </c>
      <c r="I152" s="107" t="s">
        <v>76</v>
      </c>
      <c r="J152" s="107" t="s">
        <v>76</v>
      </c>
      <c r="K152" s="107" t="s">
        <v>76</v>
      </c>
      <c r="L152" s="107" t="s">
        <v>76</v>
      </c>
      <c r="M152" s="107"/>
      <c r="N152" s="122">
        <v>35000</v>
      </c>
      <c r="O152" s="6"/>
    </row>
    <row r="153" spans="1:15" s="25" customFormat="1" ht="13.5" customHeight="1">
      <c r="A153" s="22" t="s">
        <v>463</v>
      </c>
      <c r="B153" s="9"/>
      <c r="C153" s="9" t="s">
        <v>80</v>
      </c>
      <c r="D153" s="9" t="s">
        <v>81</v>
      </c>
      <c r="E153" s="9" t="s">
        <v>108</v>
      </c>
      <c r="F153" s="9" t="s">
        <v>118</v>
      </c>
      <c r="G153" s="9" t="s">
        <v>115</v>
      </c>
      <c r="H153" s="126">
        <f t="shared" si="7"/>
        <v>2504.12</v>
      </c>
      <c r="I153" s="107" t="s">
        <v>76</v>
      </c>
      <c r="J153" s="107" t="s">
        <v>76</v>
      </c>
      <c r="K153" s="107" t="s">
        <v>76</v>
      </c>
      <c r="L153" s="107"/>
      <c r="M153" s="107"/>
      <c r="N153" s="122">
        <v>2504.12</v>
      </c>
      <c r="O153" s="6"/>
    </row>
    <row r="154" spans="1:15" s="25" customFormat="1" ht="39" customHeight="1">
      <c r="A154" s="22" t="s">
        <v>363</v>
      </c>
      <c r="B154" s="9"/>
      <c r="C154" s="9" t="s">
        <v>80</v>
      </c>
      <c r="D154" s="9" t="s">
        <v>81</v>
      </c>
      <c r="E154" s="9" t="s">
        <v>218</v>
      </c>
      <c r="F154" s="9" t="s">
        <v>240</v>
      </c>
      <c r="G154" s="9" t="s">
        <v>115</v>
      </c>
      <c r="H154" s="126">
        <f t="shared" si="7"/>
        <v>3937.5</v>
      </c>
      <c r="I154" s="107" t="s">
        <v>76</v>
      </c>
      <c r="J154" s="107"/>
      <c r="K154" s="107" t="s">
        <v>76</v>
      </c>
      <c r="L154" s="107" t="s">
        <v>76</v>
      </c>
      <c r="M154" s="107"/>
      <c r="N154" s="99">
        <v>3937.5</v>
      </c>
      <c r="O154" s="6"/>
    </row>
    <row r="155" spans="1:15" s="25" customFormat="1" ht="30.75" customHeight="1">
      <c r="A155" s="431" t="s">
        <v>364</v>
      </c>
      <c r="B155" s="20"/>
      <c r="C155" s="9" t="s">
        <v>80</v>
      </c>
      <c r="D155" s="9" t="s">
        <v>81</v>
      </c>
      <c r="E155" s="9" t="s">
        <v>218</v>
      </c>
      <c r="F155" s="9" t="s">
        <v>242</v>
      </c>
      <c r="G155" s="9" t="s">
        <v>115</v>
      </c>
      <c r="H155" s="126">
        <f t="shared" si="7"/>
        <v>7087.63</v>
      </c>
      <c r="I155" s="107" t="s">
        <v>76</v>
      </c>
      <c r="J155" s="108"/>
      <c r="K155" s="107" t="s">
        <v>76</v>
      </c>
      <c r="L155" s="108"/>
      <c r="M155" s="108"/>
      <c r="N155" s="78">
        <v>7087.63</v>
      </c>
      <c r="O155" s="6"/>
    </row>
    <row r="156" spans="1:15" s="25" customFormat="1" ht="30.75" customHeight="1">
      <c r="A156" s="431" t="s">
        <v>243</v>
      </c>
      <c r="B156" s="20"/>
      <c r="C156" s="9" t="s">
        <v>80</v>
      </c>
      <c r="D156" s="9" t="s">
        <v>81</v>
      </c>
      <c r="E156" s="9" t="s">
        <v>218</v>
      </c>
      <c r="F156" s="9" t="s">
        <v>244</v>
      </c>
      <c r="G156" s="9" t="s">
        <v>115</v>
      </c>
      <c r="H156" s="126">
        <f t="shared" si="7"/>
        <v>3823.8</v>
      </c>
      <c r="I156" s="107"/>
      <c r="J156" s="108"/>
      <c r="K156" s="107"/>
      <c r="L156" s="108"/>
      <c r="M156" s="108"/>
      <c r="N156" s="78">
        <v>3823.8</v>
      </c>
      <c r="O156" s="6"/>
    </row>
    <row r="157" spans="1:15" s="25" customFormat="1" ht="27">
      <c r="A157" s="96" t="s">
        <v>129</v>
      </c>
      <c r="B157" s="32" t="s">
        <v>130</v>
      </c>
      <c r="C157" s="33" t="s">
        <v>76</v>
      </c>
      <c r="D157" s="33" t="s">
        <v>76</v>
      </c>
      <c r="E157" s="33" t="s">
        <v>76</v>
      </c>
      <c r="F157" s="33" t="s">
        <v>76</v>
      </c>
      <c r="G157" s="33" t="s">
        <v>76</v>
      </c>
      <c r="H157" s="130">
        <f>I157+N157+K157</f>
        <v>16849834</v>
      </c>
      <c r="I157" s="130">
        <f>I57+I61+I90+I91+I59+I74+I60</f>
        <v>16839834</v>
      </c>
      <c r="J157" s="130"/>
      <c r="K157" s="130">
        <f>K140</f>
        <v>10000</v>
      </c>
      <c r="L157" s="134" t="s">
        <v>76</v>
      </c>
      <c r="M157" s="134" t="s">
        <v>76</v>
      </c>
      <c r="N157" s="130"/>
      <c r="O157" s="6" t="s">
        <v>76</v>
      </c>
    </row>
    <row r="158" spans="1:15" s="25" customFormat="1" ht="27">
      <c r="A158" s="96" t="s">
        <v>131</v>
      </c>
      <c r="B158" s="32" t="s">
        <v>132</v>
      </c>
      <c r="C158" s="33" t="s">
        <v>76</v>
      </c>
      <c r="D158" s="33" t="s">
        <v>76</v>
      </c>
      <c r="E158" s="33" t="s">
        <v>76</v>
      </c>
      <c r="F158" s="33" t="s">
        <v>76</v>
      </c>
      <c r="G158" s="33" t="s">
        <v>76</v>
      </c>
      <c r="H158" s="130">
        <f>H160+H159</f>
        <v>7441351.82</v>
      </c>
      <c r="I158" s="130">
        <f>I160+I159</f>
        <v>5015809</v>
      </c>
      <c r="J158" s="130">
        <f>J160+J159</f>
        <v>0</v>
      </c>
      <c r="K158" s="130">
        <f>K160+K159</f>
        <v>2323538.7</v>
      </c>
      <c r="L158" s="134"/>
      <c r="M158" s="134"/>
      <c r="N158" s="130">
        <f>N160+N159</f>
        <v>102004.12</v>
      </c>
      <c r="O158" s="6"/>
    </row>
    <row r="159" spans="1:15" s="25" customFormat="1" ht="24" customHeight="1">
      <c r="A159" s="96" t="s">
        <v>133</v>
      </c>
      <c r="B159" s="32" t="s">
        <v>134</v>
      </c>
      <c r="C159" s="33" t="s">
        <v>76</v>
      </c>
      <c r="D159" s="33" t="s">
        <v>76</v>
      </c>
      <c r="E159" s="33" t="s">
        <v>76</v>
      </c>
      <c r="F159" s="33" t="s">
        <v>76</v>
      </c>
      <c r="G159" s="33" t="s">
        <v>76</v>
      </c>
      <c r="H159" s="130">
        <f>I159+N159+K159</f>
        <v>0</v>
      </c>
      <c r="I159" s="130"/>
      <c r="J159" s="130"/>
      <c r="K159" s="130">
        <v>0</v>
      </c>
      <c r="L159" s="134"/>
      <c r="M159" s="134"/>
      <c r="N159" s="130">
        <v>0</v>
      </c>
      <c r="O159" s="6"/>
    </row>
    <row r="160" spans="1:15" s="25" customFormat="1" ht="12.75" customHeight="1">
      <c r="A160" s="96" t="s">
        <v>135</v>
      </c>
      <c r="B160" s="32" t="s">
        <v>136</v>
      </c>
      <c r="C160" s="33" t="s">
        <v>76</v>
      </c>
      <c r="D160" s="33" t="s">
        <v>76</v>
      </c>
      <c r="E160" s="33" t="s">
        <v>76</v>
      </c>
      <c r="F160" s="33" t="s">
        <v>76</v>
      </c>
      <c r="G160" s="33" t="s">
        <v>76</v>
      </c>
      <c r="H160" s="130">
        <f>I160+N160+K160</f>
        <v>7441351.82</v>
      </c>
      <c r="I160" s="130">
        <f>I63+I68+I69+I70+I71+I75+I81+I82+I84+I86+I87+I88+I89+I100+I95+I96+I76+I77+I79+I80+I97+I85+I73+I78</f>
        <v>5015809</v>
      </c>
      <c r="J160" s="130"/>
      <c r="K160" s="130">
        <f>K104+K108+K137+K138+K122+K123+K124+K130+K132+K116+K117+K118+K119+K115+K142+K144+K129+K125+K126+K127+K110+K111++K112+K113</f>
        <v>2323538.7</v>
      </c>
      <c r="L160" s="134" t="s">
        <v>76</v>
      </c>
      <c r="M160" s="134" t="s">
        <v>76</v>
      </c>
      <c r="N160" s="130">
        <f>N146+N147+N149+N152+N154+N148+N151+N155+N150+N156+N153</f>
        <v>102004.12</v>
      </c>
      <c r="O160" s="6" t="s">
        <v>76</v>
      </c>
    </row>
    <row r="161" spans="1:15" s="25" customFormat="1" ht="13.5" hidden="1">
      <c r="A161" s="8" t="s">
        <v>137</v>
      </c>
      <c r="B161" s="9" t="s">
        <v>138</v>
      </c>
      <c r="C161" s="34" t="s">
        <v>76</v>
      </c>
      <c r="D161" s="34" t="s">
        <v>76</v>
      </c>
      <c r="E161" s="34" t="s">
        <v>76</v>
      </c>
      <c r="F161" s="34" t="s">
        <v>76</v>
      </c>
      <c r="G161" s="34" t="s">
        <v>76</v>
      </c>
      <c r="H161" s="126">
        <f>I161+N161</f>
        <v>0</v>
      </c>
      <c r="I161" s="126">
        <v>0</v>
      </c>
      <c r="J161" s="126"/>
      <c r="K161" s="126"/>
      <c r="L161" s="135" t="s">
        <v>76</v>
      </c>
      <c r="M161" s="135" t="s">
        <v>76</v>
      </c>
      <c r="N161" s="126">
        <v>0</v>
      </c>
      <c r="O161" s="6" t="s">
        <v>76</v>
      </c>
    </row>
    <row r="162" spans="1:15" s="25" customFormat="1" ht="13.5" hidden="1">
      <c r="A162" s="20" t="s">
        <v>139</v>
      </c>
      <c r="B162" s="9" t="s">
        <v>118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140</v>
      </c>
      <c r="B163" s="9" t="s">
        <v>141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 hidden="1">
      <c r="A164" s="20" t="s">
        <v>142</v>
      </c>
      <c r="B164" s="9" t="s">
        <v>143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5" spans="1:15" s="25" customFormat="1" ht="13.5" hidden="1">
      <c r="A165" s="20" t="s">
        <v>144</v>
      </c>
      <c r="B165" s="9" t="s">
        <v>145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6" spans="1:15" s="25" customFormat="1" ht="13.5" hidden="1">
      <c r="A166" s="20" t="s">
        <v>146</v>
      </c>
      <c r="B166" s="9" t="s">
        <v>147</v>
      </c>
      <c r="C166" s="34" t="s">
        <v>76</v>
      </c>
      <c r="D166" s="34" t="s">
        <v>76</v>
      </c>
      <c r="E166" s="34" t="s">
        <v>76</v>
      </c>
      <c r="F166" s="34" t="s">
        <v>76</v>
      </c>
      <c r="G166" s="34" t="s">
        <v>76</v>
      </c>
      <c r="H166" s="126">
        <v>0</v>
      </c>
      <c r="I166" s="126">
        <v>0</v>
      </c>
      <c r="J166" s="126"/>
      <c r="K166" s="126"/>
      <c r="L166" s="135" t="s">
        <v>76</v>
      </c>
      <c r="M166" s="135" t="s">
        <v>76</v>
      </c>
      <c r="N166" s="126">
        <v>0</v>
      </c>
      <c r="O166" s="6" t="s">
        <v>76</v>
      </c>
    </row>
    <row r="167" spans="1:15" s="25" customFormat="1" ht="13.5">
      <c r="A167" s="48" t="s">
        <v>137</v>
      </c>
      <c r="B167" s="49" t="s">
        <v>138</v>
      </c>
      <c r="C167" s="50" t="s">
        <v>173</v>
      </c>
      <c r="D167" s="49" t="s">
        <v>81</v>
      </c>
      <c r="E167" s="50" t="s">
        <v>174</v>
      </c>
      <c r="F167" s="50" t="s">
        <v>174</v>
      </c>
      <c r="G167" s="50" t="s">
        <v>175</v>
      </c>
      <c r="H167" s="132">
        <v>28653.9</v>
      </c>
      <c r="I167" s="136"/>
      <c r="J167" s="136"/>
      <c r="K167" s="136"/>
      <c r="L167" s="137"/>
      <c r="M167" s="137"/>
      <c r="N167" s="136"/>
      <c r="O167" s="6"/>
    </row>
    <row r="168" spans="1:15" s="25" customFormat="1" ht="13.5">
      <c r="A168" s="51" t="s">
        <v>142</v>
      </c>
      <c r="B168" s="49" t="s">
        <v>143</v>
      </c>
      <c r="C168" s="50" t="s">
        <v>173</v>
      </c>
      <c r="D168" s="49" t="s">
        <v>81</v>
      </c>
      <c r="E168" s="50" t="s">
        <v>174</v>
      </c>
      <c r="F168" s="50" t="s">
        <v>174</v>
      </c>
      <c r="G168" s="50" t="s">
        <v>176</v>
      </c>
      <c r="H168" s="132">
        <v>28653.9</v>
      </c>
      <c r="I168" s="136"/>
      <c r="J168" s="136"/>
      <c r="K168" s="136"/>
      <c r="L168" s="137"/>
      <c r="M168" s="137"/>
      <c r="N168" s="136"/>
      <c r="O168" s="6"/>
    </row>
    <row r="169" spans="1:15" s="25" customFormat="1" ht="13.5">
      <c r="A169" s="35" t="s">
        <v>148</v>
      </c>
      <c r="B169" s="36" t="s">
        <v>149</v>
      </c>
      <c r="C169" s="37" t="s">
        <v>76</v>
      </c>
      <c r="D169" s="37" t="s">
        <v>76</v>
      </c>
      <c r="E169" s="37" t="s">
        <v>76</v>
      </c>
      <c r="F169" s="37" t="s">
        <v>76</v>
      </c>
      <c r="G169" s="37" t="s">
        <v>76</v>
      </c>
      <c r="H169" s="133">
        <f>I169+K169+N169</f>
        <v>0</v>
      </c>
      <c r="I169" s="133">
        <v>0</v>
      </c>
      <c r="J169" s="133"/>
      <c r="K169" s="133"/>
      <c r="L169" s="138" t="s">
        <v>76</v>
      </c>
      <c r="M169" s="138" t="s">
        <v>76</v>
      </c>
      <c r="N169" s="133"/>
      <c r="O169" s="6" t="s">
        <v>76</v>
      </c>
    </row>
    <row r="170" spans="1:15" s="25" customFormat="1" ht="13.5">
      <c r="A170" s="20" t="s">
        <v>150</v>
      </c>
      <c r="B170" s="9" t="s">
        <v>151</v>
      </c>
      <c r="C170" s="34" t="s">
        <v>76</v>
      </c>
      <c r="D170" s="34" t="s">
        <v>76</v>
      </c>
      <c r="E170" s="34" t="s">
        <v>76</v>
      </c>
      <c r="F170" s="34" t="s">
        <v>76</v>
      </c>
      <c r="G170" s="34" t="s">
        <v>76</v>
      </c>
      <c r="H170" s="126">
        <v>0</v>
      </c>
      <c r="I170" s="126">
        <v>0</v>
      </c>
      <c r="J170" s="126"/>
      <c r="K170" s="126"/>
      <c r="L170" s="135" t="s">
        <v>76</v>
      </c>
      <c r="M170" s="135" t="s">
        <v>76</v>
      </c>
      <c r="N170" s="126">
        <v>0</v>
      </c>
      <c r="O170" s="6" t="s">
        <v>76</v>
      </c>
    </row>
    <row r="172" ht="12.75">
      <c r="A172" s="88" t="s">
        <v>271</v>
      </c>
    </row>
    <row r="173" ht="12.75">
      <c r="A173" s="88"/>
    </row>
    <row r="174" ht="19.5" customHeight="1">
      <c r="A174" s="88" t="s">
        <v>17</v>
      </c>
    </row>
    <row r="175" ht="12.75">
      <c r="A175" s="88" t="s">
        <v>272</v>
      </c>
    </row>
    <row r="176" ht="12.75">
      <c r="A176" s="88"/>
    </row>
    <row r="177" ht="13.5" customHeight="1">
      <c r="A177" s="89"/>
    </row>
    <row r="178" ht="13.5" customHeight="1">
      <c r="A178" s="89"/>
    </row>
    <row r="179" ht="12.7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  <row r="183" ht="12.75" customHeight="1">
      <c r="A183" s="89"/>
    </row>
    <row r="184" ht="12.75" customHeight="1">
      <c r="A184" s="89"/>
    </row>
    <row r="185" ht="12.75" customHeight="1">
      <c r="A185" s="89"/>
    </row>
  </sheetData>
  <sheetProtection/>
  <mergeCells count="88">
    <mergeCell ref="A145:B145"/>
    <mergeCell ref="A86:A87"/>
    <mergeCell ref="C86:C87"/>
    <mergeCell ref="A81:A82"/>
    <mergeCell ref="A131:B131"/>
    <mergeCell ref="A134:B134"/>
    <mergeCell ref="A136:B136"/>
    <mergeCell ref="A120:B120"/>
    <mergeCell ref="A114:B114"/>
    <mergeCell ref="C81:C82"/>
    <mergeCell ref="E122:E124"/>
    <mergeCell ref="F122:F124"/>
    <mergeCell ref="A30:A36"/>
    <mergeCell ref="C30:C31"/>
    <mergeCell ref="A105:B105"/>
    <mergeCell ref="A109:B109"/>
    <mergeCell ref="A88:A89"/>
    <mergeCell ref="C88:C89"/>
    <mergeCell ref="A83:B83"/>
    <mergeCell ref="A101:B101"/>
    <mergeCell ref="G86:G87"/>
    <mergeCell ref="E75:E76"/>
    <mergeCell ref="G122:G124"/>
    <mergeCell ref="A129:A130"/>
    <mergeCell ref="C129:C130"/>
    <mergeCell ref="E129:E130"/>
    <mergeCell ref="F129:F130"/>
    <mergeCell ref="G129:G130"/>
    <mergeCell ref="A122:A124"/>
    <mergeCell ref="C122:C124"/>
    <mergeCell ref="E88:E89"/>
    <mergeCell ref="F88:F89"/>
    <mergeCell ref="G88:G89"/>
    <mergeCell ref="F70:F71"/>
    <mergeCell ref="E81:E82"/>
    <mergeCell ref="F81:F82"/>
    <mergeCell ref="G81:G82"/>
    <mergeCell ref="G70:G71"/>
    <mergeCell ref="E86:E87"/>
    <mergeCell ref="F86:F87"/>
    <mergeCell ref="A63:A68"/>
    <mergeCell ref="C63:C68"/>
    <mergeCell ref="F63:F68"/>
    <mergeCell ref="C59:C60"/>
    <mergeCell ref="F59:F60"/>
    <mergeCell ref="C46:C47"/>
    <mergeCell ref="F46:F47"/>
    <mergeCell ref="A56:B56"/>
    <mergeCell ref="A46:A47"/>
    <mergeCell ref="G59:G60"/>
    <mergeCell ref="A70:A71"/>
    <mergeCell ref="C70:C71"/>
    <mergeCell ref="E70:E71"/>
    <mergeCell ref="F32:F36"/>
    <mergeCell ref="A37:A40"/>
    <mergeCell ref="C37:C40"/>
    <mergeCell ref="A41:A43"/>
    <mergeCell ref="C41:C43"/>
    <mergeCell ref="F41:F43"/>
    <mergeCell ref="D30:D31"/>
    <mergeCell ref="B16:B23"/>
    <mergeCell ref="J16:J17"/>
    <mergeCell ref="A17:A18"/>
    <mergeCell ref="C17:C18"/>
    <mergeCell ref="E17:E18"/>
    <mergeCell ref="F17:F18"/>
    <mergeCell ref="G17:G18"/>
    <mergeCell ref="A19:A23"/>
    <mergeCell ref="C19:C23"/>
    <mergeCell ref="B10:B15"/>
    <mergeCell ref="C11:C13"/>
    <mergeCell ref="E11:E13"/>
    <mergeCell ref="F11:F13"/>
    <mergeCell ref="F19:F2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zoomScalePageLayoutView="0" workbookViewId="0" topLeftCell="A76">
      <selection activeCell="I85" sqref="I85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269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2.75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21903100</v>
      </c>
      <c r="I9" s="124">
        <f>I15</f>
        <v>21196200</v>
      </c>
      <c r="J9" s="124"/>
      <c r="K9" s="124">
        <f>K23</f>
        <v>676900</v>
      </c>
      <c r="L9" s="125" t="s">
        <v>76</v>
      </c>
      <c r="M9" s="125" t="s">
        <v>76</v>
      </c>
      <c r="N9" s="124">
        <f>N10</f>
        <v>30000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30000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30000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 hidden="1">
      <c r="A14" s="8" t="s">
        <v>83</v>
      </c>
      <c r="B14" s="695"/>
      <c r="C14" s="9" t="s">
        <v>80</v>
      </c>
      <c r="D14" s="9" t="s">
        <v>81</v>
      </c>
      <c r="E14" s="9"/>
      <c r="F14" s="9" t="s">
        <v>208</v>
      </c>
      <c r="G14" s="9"/>
      <c r="H14" s="126">
        <f>N14</f>
        <v>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/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21196200</v>
      </c>
      <c r="I15" s="100">
        <f>I16+I18+I19+I17+I22</f>
        <v>21196200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103"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1543600</v>
      </c>
      <c r="I18" s="103">
        <v>1543600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676900</v>
      </c>
      <c r="I23" s="102" t="s">
        <v>76</v>
      </c>
      <c r="J23" s="100"/>
      <c r="K23" s="100">
        <f>SUM(K24:K42)</f>
        <v>676900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74" t="s">
        <v>89</v>
      </c>
      <c r="E24" s="62"/>
      <c r="F24" s="62" t="s">
        <v>209</v>
      </c>
      <c r="G24" s="62"/>
      <c r="H24" s="128">
        <f>K24</f>
        <v>676900</v>
      </c>
      <c r="I24" s="101" t="s">
        <v>76</v>
      </c>
      <c r="J24" s="104"/>
      <c r="K24" s="105">
        <v>676900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 hidden="1">
      <c r="A28" s="61" t="s">
        <v>44</v>
      </c>
      <c r="B28" s="62"/>
      <c r="C28" s="63" t="s">
        <v>41</v>
      </c>
      <c r="D28" s="62" t="s">
        <v>81</v>
      </c>
      <c r="E28" s="59"/>
      <c r="F28" s="6" t="s">
        <v>209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12.75" hidden="1">
      <c r="A29" s="708" t="s">
        <v>48</v>
      </c>
      <c r="B29" s="62"/>
      <c r="C29" s="63" t="s">
        <v>50</v>
      </c>
      <c r="D29" s="6" t="s">
        <v>81</v>
      </c>
      <c r="F29" s="693" t="s">
        <v>209</v>
      </c>
      <c r="G29" s="9"/>
      <c r="H29" s="126">
        <f>K29</f>
        <v>0</v>
      </c>
      <c r="I29" s="107" t="s">
        <v>76</v>
      </c>
      <c r="J29" s="108"/>
      <c r="K29" s="109"/>
      <c r="L29" s="108"/>
      <c r="M29" s="108"/>
      <c r="N29" s="107" t="s">
        <v>76</v>
      </c>
      <c r="O29" s="7"/>
    </row>
    <row r="30" spans="1:15" ht="12.75" hidden="1">
      <c r="A30" s="709"/>
      <c r="B30" s="62"/>
      <c r="C30" s="63" t="s">
        <v>50</v>
      </c>
      <c r="D30" s="59" t="s">
        <v>212</v>
      </c>
      <c r="E30" s="59"/>
      <c r="F30" s="697"/>
      <c r="G30" s="9"/>
      <c r="H30" s="126">
        <f>K30</f>
        <v>0</v>
      </c>
      <c r="I30" s="107" t="s">
        <v>76</v>
      </c>
      <c r="J30" s="78"/>
      <c r="K30" s="78"/>
      <c r="L30" s="26"/>
      <c r="M30" s="26"/>
      <c r="N30" s="107" t="s">
        <v>76</v>
      </c>
      <c r="O30" s="7"/>
    </row>
    <row r="31" spans="1:15" ht="12.75" hidden="1">
      <c r="A31" s="709"/>
      <c r="B31" s="62"/>
      <c r="C31" s="63" t="s">
        <v>50</v>
      </c>
      <c r="D31" s="59" t="s">
        <v>214</v>
      </c>
      <c r="E31" s="59"/>
      <c r="F31" s="697"/>
      <c r="G31" s="9"/>
      <c r="H31" s="126">
        <f aca="true" t="shared" si="1" ref="H31:H42"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hidden="1">
      <c r="A32" s="709"/>
      <c r="B32" s="62"/>
      <c r="C32" s="63" t="s">
        <v>50</v>
      </c>
      <c r="D32" s="59" t="s">
        <v>215</v>
      </c>
      <c r="E32" s="59"/>
      <c r="F32" s="697"/>
      <c r="G32" s="9"/>
      <c r="H32" s="126">
        <f t="shared" si="1"/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hidden="1">
      <c r="A33" s="710"/>
      <c r="B33" s="62"/>
      <c r="C33" s="63" t="s">
        <v>50</v>
      </c>
      <c r="D33" s="59" t="s">
        <v>216</v>
      </c>
      <c r="E33" s="59"/>
      <c r="F33" s="694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hidden="1">
      <c r="A34" s="711" t="s">
        <v>155</v>
      </c>
      <c r="B34" s="62"/>
      <c r="C34" s="698" t="s">
        <v>51</v>
      </c>
      <c r="D34" s="62" t="s">
        <v>81</v>
      </c>
      <c r="E34" s="59"/>
      <c r="F34" s="693" t="s">
        <v>209</v>
      </c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/>
      <c r="B35" s="62"/>
      <c r="C35" s="698"/>
      <c r="D35" s="59" t="s">
        <v>196</v>
      </c>
      <c r="E35" s="59"/>
      <c r="F35" s="697"/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62" t="s">
        <v>166</v>
      </c>
      <c r="E36" s="59"/>
      <c r="F36" s="694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63.75" hidden="1">
      <c r="A37" s="65" t="s">
        <v>43</v>
      </c>
      <c r="B37" s="66"/>
      <c r="C37" s="61" t="s">
        <v>42</v>
      </c>
      <c r="D37" s="62" t="s">
        <v>162</v>
      </c>
      <c r="E37" s="59"/>
      <c r="F37" s="6" t="s">
        <v>209</v>
      </c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25.5" hidden="1">
      <c r="A38" s="65" t="s">
        <v>225</v>
      </c>
      <c r="B38" s="66"/>
      <c r="C38" s="59" t="s">
        <v>203</v>
      </c>
      <c r="D38" s="59" t="s">
        <v>81</v>
      </c>
      <c r="E38" s="59"/>
      <c r="F38" s="6" t="s">
        <v>209</v>
      </c>
      <c r="G38" s="9"/>
      <c r="H38" s="126">
        <f t="shared" si="1"/>
        <v>0</v>
      </c>
      <c r="I38" s="107" t="s">
        <v>76</v>
      </c>
      <c r="J38" s="78"/>
      <c r="K38" s="78"/>
      <c r="L38" s="26"/>
      <c r="M38" s="26"/>
      <c r="N38" s="107" t="s">
        <v>76</v>
      </c>
      <c r="O38" s="7"/>
    </row>
    <row r="39" spans="1:15" ht="21" customHeight="1" hidden="1">
      <c r="A39" s="689" t="s">
        <v>199</v>
      </c>
      <c r="B39" s="66"/>
      <c r="C39" s="690" t="s">
        <v>192</v>
      </c>
      <c r="D39" s="59" t="s">
        <v>193</v>
      </c>
      <c r="E39" s="59"/>
      <c r="F39" s="693" t="s">
        <v>209</v>
      </c>
      <c r="G39" s="9"/>
      <c r="H39" s="126">
        <f t="shared" si="1"/>
        <v>0</v>
      </c>
      <c r="I39" s="107" t="s">
        <v>76</v>
      </c>
      <c r="J39" s="78"/>
      <c r="K39" s="78"/>
      <c r="L39" s="26"/>
      <c r="M39" s="26"/>
      <c r="N39" s="107" t="s">
        <v>76</v>
      </c>
      <c r="O39" s="7"/>
    </row>
    <row r="40" spans="1:15" ht="18" customHeight="1" hidden="1">
      <c r="A40" s="689"/>
      <c r="B40" s="66"/>
      <c r="C40" s="690"/>
      <c r="D40" s="59" t="s">
        <v>196</v>
      </c>
      <c r="E40" s="59"/>
      <c r="F40" s="694"/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38.25" hidden="1">
      <c r="A41" s="22" t="s">
        <v>49</v>
      </c>
      <c r="B41" s="6"/>
      <c r="C41" s="6" t="s">
        <v>23</v>
      </c>
      <c r="D41" s="6" t="s">
        <v>228</v>
      </c>
      <c r="E41" s="6"/>
      <c r="F41" s="6" t="s">
        <v>209</v>
      </c>
      <c r="G41" s="6"/>
      <c r="H41" s="129">
        <f t="shared" si="1"/>
        <v>0</v>
      </c>
      <c r="I41" s="26"/>
      <c r="J41" s="26"/>
      <c r="K41" s="78"/>
      <c r="L41" s="26"/>
      <c r="M41" s="26"/>
      <c r="N41" s="26"/>
      <c r="O41" s="7"/>
    </row>
    <row r="42" spans="1:15" ht="22.5" customHeight="1" hidden="1">
      <c r="A42" s="8" t="s">
        <v>229</v>
      </c>
      <c r="B42" s="6"/>
      <c r="C42" s="22" t="s">
        <v>230</v>
      </c>
      <c r="D42" s="6" t="s">
        <v>81</v>
      </c>
      <c r="E42" s="9"/>
      <c r="F42" s="15" t="s">
        <v>209</v>
      </c>
      <c r="G42" s="9"/>
      <c r="H42" s="126">
        <f t="shared" si="1"/>
        <v>0</v>
      </c>
      <c r="I42" s="107"/>
      <c r="J42" s="78"/>
      <c r="K42" s="26"/>
      <c r="L42" s="26"/>
      <c r="M42" s="26"/>
      <c r="N42" s="26"/>
      <c r="O42" s="7"/>
    </row>
    <row r="43" spans="1:15" s="25" customFormat="1" ht="17.25" customHeight="1">
      <c r="A43" s="23" t="s">
        <v>94</v>
      </c>
      <c r="B43" s="24" t="s">
        <v>95</v>
      </c>
      <c r="C43" s="56" t="s">
        <v>76</v>
      </c>
      <c r="D43" s="56" t="s">
        <v>76</v>
      </c>
      <c r="E43" s="56" t="s">
        <v>76</v>
      </c>
      <c r="F43" s="56" t="s">
        <v>76</v>
      </c>
      <c r="G43" s="56" t="s">
        <v>76</v>
      </c>
      <c r="H43" s="130">
        <f>I43+N43+K43</f>
        <v>21903100</v>
      </c>
      <c r="I43" s="130">
        <f>I49+I73+I90</f>
        <v>21196200</v>
      </c>
      <c r="J43" s="130"/>
      <c r="K43" s="130">
        <f>K90+K94+K96+K104+K112+K115+K117+K98+K120+K122+K124</f>
        <v>676900</v>
      </c>
      <c r="L43" s="130"/>
      <c r="M43" s="130"/>
      <c r="N43" s="130">
        <f>N126</f>
        <v>30000</v>
      </c>
      <c r="O43" s="95"/>
    </row>
    <row r="44" spans="1:15" s="25" customFormat="1" ht="18" customHeight="1">
      <c r="A44" s="8" t="s">
        <v>96</v>
      </c>
      <c r="B44" s="9" t="s">
        <v>97</v>
      </c>
      <c r="C44" s="26" t="s">
        <v>76</v>
      </c>
      <c r="D44" s="26" t="s">
        <v>76</v>
      </c>
      <c r="E44" s="26" t="s">
        <v>76</v>
      </c>
      <c r="F44" s="26" t="s">
        <v>76</v>
      </c>
      <c r="G44" s="26" t="s">
        <v>76</v>
      </c>
      <c r="H44" s="126">
        <f>I44+N44</f>
        <v>16594000</v>
      </c>
      <c r="I44" s="78">
        <f>I45+I47</f>
        <v>16594000</v>
      </c>
      <c r="J44" s="78"/>
      <c r="K44" s="78"/>
      <c r="L44" s="78"/>
      <c r="M44" s="78"/>
      <c r="N44" s="78"/>
      <c r="O44" s="7" t="s">
        <v>76</v>
      </c>
    </row>
    <row r="45" spans="1:15" s="25" customFormat="1" ht="25.5">
      <c r="A45" s="22" t="s">
        <v>98</v>
      </c>
      <c r="B45" s="9" t="s">
        <v>99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I50+I51+I53+I54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9.75" customHeight="1" hidden="1">
      <c r="A46" s="8" t="s">
        <v>100</v>
      </c>
      <c r="B46" s="9" t="s">
        <v>101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/>
      <c r="I46" s="78"/>
      <c r="J46" s="78"/>
      <c r="K46" s="78"/>
      <c r="L46" s="78"/>
      <c r="M46" s="78"/>
      <c r="N46" s="78"/>
      <c r="O46" s="7" t="s">
        <v>76</v>
      </c>
    </row>
    <row r="47" spans="1:15" s="25" customFormat="1" ht="25.5">
      <c r="A47" s="8" t="s">
        <v>102</v>
      </c>
      <c r="B47" s="9" t="s">
        <v>103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>
        <f>I47+N47</f>
        <v>0</v>
      </c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13.5" customHeight="1" hidden="1">
      <c r="A48" s="8" t="s">
        <v>104</v>
      </c>
      <c r="B48" s="9" t="s">
        <v>105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v>0</v>
      </c>
      <c r="I48" s="78">
        <v>0</v>
      </c>
      <c r="J48" s="78"/>
      <c r="K48" s="78"/>
      <c r="L48" s="78"/>
      <c r="M48" s="78"/>
      <c r="N48" s="78"/>
      <c r="O48" s="21"/>
    </row>
    <row r="49" spans="1:15" s="25" customFormat="1" ht="29.25" customHeight="1">
      <c r="A49" s="681" t="s">
        <v>106</v>
      </c>
      <c r="B49" s="683"/>
      <c r="C49" s="27" t="s">
        <v>18</v>
      </c>
      <c r="D49" s="3"/>
      <c r="E49" s="27"/>
      <c r="F49" s="3"/>
      <c r="G49" s="3"/>
      <c r="H49" s="124">
        <f>SUM(H50:H72)</f>
        <v>17097800</v>
      </c>
      <c r="I49" s="97">
        <f>SUM(I50:I72)</f>
        <v>17097800</v>
      </c>
      <c r="J49" s="110"/>
      <c r="K49" s="111" t="s">
        <v>107</v>
      </c>
      <c r="L49" s="111"/>
      <c r="M49" s="111"/>
      <c r="N49" s="111" t="s">
        <v>107</v>
      </c>
      <c r="O49" s="28"/>
    </row>
    <row r="50" spans="1:15" s="25" customFormat="1" ht="12.75">
      <c r="A50" s="22" t="s">
        <v>4</v>
      </c>
      <c r="B50" s="9"/>
      <c r="C50" s="6" t="s">
        <v>18</v>
      </c>
      <c r="D50" s="14">
        <v>14130030000000000</v>
      </c>
      <c r="E50" s="6" t="s">
        <v>108</v>
      </c>
      <c r="F50" s="6" t="s">
        <v>99</v>
      </c>
      <c r="G50" s="6" t="s">
        <v>109</v>
      </c>
      <c r="H50" s="126">
        <f>I50</f>
        <v>12739000</v>
      </c>
      <c r="I50" s="112">
        <v>12739000</v>
      </c>
      <c r="J50" s="78"/>
      <c r="K50" s="107" t="s">
        <v>76</v>
      </c>
      <c r="L50" s="107" t="s">
        <v>76</v>
      </c>
      <c r="M50" s="107" t="s">
        <v>76</v>
      </c>
      <c r="N50" s="107" t="s">
        <v>76</v>
      </c>
      <c r="O50" s="6" t="s">
        <v>76</v>
      </c>
    </row>
    <row r="51" spans="1:15" s="25" customFormat="1" ht="15.75" customHeight="1" hidden="1">
      <c r="A51" s="22" t="s">
        <v>5</v>
      </c>
      <c r="B51" s="9"/>
      <c r="C51" s="6" t="s">
        <v>18</v>
      </c>
      <c r="D51" s="9" t="s">
        <v>81</v>
      </c>
      <c r="E51" s="6" t="s">
        <v>108</v>
      </c>
      <c r="F51" s="6" t="s">
        <v>110</v>
      </c>
      <c r="G51" s="6" t="s">
        <v>111</v>
      </c>
      <c r="H51" s="126">
        <f>I51</f>
        <v>0</v>
      </c>
      <c r="I51" s="78"/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/>
    </row>
    <row r="52" spans="1:15" s="25" customFormat="1" ht="12.75" hidden="1">
      <c r="A52" s="22" t="s">
        <v>5</v>
      </c>
      <c r="B52" s="9"/>
      <c r="C52" s="9"/>
      <c r="D52" s="15"/>
      <c r="E52" s="9"/>
      <c r="F52" s="9" t="s">
        <v>110</v>
      </c>
      <c r="G52" s="9" t="s">
        <v>111</v>
      </c>
      <c r="H52" s="126">
        <f aca="true" t="shared" si="2" ref="H52:H72"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 t="s">
        <v>76</v>
      </c>
    </row>
    <row r="53" spans="1:15" s="25" customFormat="1" ht="12.75">
      <c r="A53" s="81" t="s">
        <v>6</v>
      </c>
      <c r="B53" s="9"/>
      <c r="C53" s="6" t="s">
        <v>18</v>
      </c>
      <c r="D53" s="14">
        <v>14130030000000000</v>
      </c>
      <c r="E53" s="6" t="s">
        <v>108</v>
      </c>
      <c r="F53" s="6" t="s">
        <v>112</v>
      </c>
      <c r="G53" s="6" t="s">
        <v>113</v>
      </c>
      <c r="H53" s="126">
        <f t="shared" si="2"/>
        <v>3855000</v>
      </c>
      <c r="I53" s="78">
        <v>3855000</v>
      </c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 hidden="1">
      <c r="A54" s="86"/>
      <c r="B54" s="12"/>
      <c r="C54" s="60"/>
      <c r="D54" s="30">
        <v>14130030000000000</v>
      </c>
      <c r="E54" s="29"/>
      <c r="F54" s="31"/>
      <c r="G54" s="31"/>
      <c r="H54" s="126">
        <f t="shared" si="2"/>
        <v>0</v>
      </c>
      <c r="I54" s="78"/>
      <c r="J54" s="100"/>
      <c r="K54" s="101" t="s">
        <v>76</v>
      </c>
      <c r="L54" s="101" t="s">
        <v>76</v>
      </c>
      <c r="M54" s="101" t="s">
        <v>76</v>
      </c>
      <c r="N54" s="101" t="s">
        <v>76</v>
      </c>
      <c r="O54" s="6"/>
    </row>
    <row r="55" spans="1:15" s="25" customFormat="1" ht="13.5" customHeight="1">
      <c r="A55" s="691" t="s">
        <v>7</v>
      </c>
      <c r="B55" s="9"/>
      <c r="C55" s="693" t="s">
        <v>18</v>
      </c>
      <c r="D55" s="9" t="s">
        <v>81</v>
      </c>
      <c r="E55" s="9" t="s">
        <v>108</v>
      </c>
      <c r="F55" s="693" t="s">
        <v>114</v>
      </c>
      <c r="G55" s="9" t="s">
        <v>115</v>
      </c>
      <c r="H55" s="126">
        <f t="shared" si="2"/>
        <v>32600</v>
      </c>
      <c r="I55" s="113">
        <v>32600</v>
      </c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 t="s">
        <v>76</v>
      </c>
    </row>
    <row r="56" spans="1:15" s="25" customFormat="1" ht="12.75" customHeight="1" hidden="1">
      <c r="A56" s="696"/>
      <c r="B56" s="9"/>
      <c r="C56" s="697"/>
      <c r="D56" s="15"/>
      <c r="E56" s="9"/>
      <c r="F56" s="697"/>
      <c r="G56" s="9" t="s">
        <v>115</v>
      </c>
      <c r="H56" s="126">
        <f t="shared" si="2"/>
        <v>0</v>
      </c>
      <c r="I56" s="78"/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/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>
      <c r="A60" s="692"/>
      <c r="B60" s="9"/>
      <c r="C60" s="694"/>
      <c r="D60" s="14">
        <v>14130030000000000</v>
      </c>
      <c r="E60" s="9" t="s">
        <v>108</v>
      </c>
      <c r="F60" s="694"/>
      <c r="G60" s="9" t="s">
        <v>115</v>
      </c>
      <c r="H60" s="126">
        <f t="shared" si="2"/>
        <v>30000</v>
      </c>
      <c r="I60" s="106">
        <v>30000</v>
      </c>
      <c r="J60" s="100"/>
      <c r="K60" s="101" t="s">
        <v>76</v>
      </c>
      <c r="L60" s="101"/>
      <c r="M60" s="101"/>
      <c r="N60" s="101" t="s">
        <v>76</v>
      </c>
      <c r="O60" s="6"/>
    </row>
    <row r="61" spans="1:15" s="25" customFormat="1" ht="12.75" customHeight="1">
      <c r="A61" s="16" t="s">
        <v>8</v>
      </c>
      <c r="B61" s="9"/>
      <c r="C61" s="6" t="s">
        <v>18</v>
      </c>
      <c r="D61" s="9" t="s">
        <v>81</v>
      </c>
      <c r="E61" s="10" t="s">
        <v>108</v>
      </c>
      <c r="F61" s="11" t="s">
        <v>128</v>
      </c>
      <c r="G61" s="10" t="s">
        <v>115</v>
      </c>
      <c r="H61" s="126">
        <f t="shared" si="2"/>
        <v>102000</v>
      </c>
      <c r="I61" s="113">
        <v>102000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>
      <c r="A62" s="684" t="s">
        <v>12</v>
      </c>
      <c r="B62" s="9"/>
      <c r="C62" s="693" t="s">
        <v>18</v>
      </c>
      <c r="D62" s="9" t="s">
        <v>81</v>
      </c>
      <c r="E62" s="693" t="s">
        <v>108</v>
      </c>
      <c r="F62" s="693" t="s">
        <v>116</v>
      </c>
      <c r="G62" s="693" t="s">
        <v>115</v>
      </c>
      <c r="H62" s="126">
        <f t="shared" si="2"/>
        <v>216300</v>
      </c>
      <c r="I62" s="113">
        <v>216300</v>
      </c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hidden="1">
      <c r="A63" s="686"/>
      <c r="B63" s="9"/>
      <c r="C63" s="694"/>
      <c r="D63" s="14">
        <v>14130030000000000</v>
      </c>
      <c r="E63" s="694"/>
      <c r="F63" s="694"/>
      <c r="G63" s="694"/>
      <c r="H63" s="126">
        <f t="shared" si="2"/>
        <v>0</v>
      </c>
      <c r="I63" s="79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/>
    </row>
    <row r="64" spans="1:15" s="25" customFormat="1" ht="12.75" hidden="1">
      <c r="A64" s="22" t="s">
        <v>13</v>
      </c>
      <c r="B64" s="9"/>
      <c r="C64" s="9"/>
      <c r="D64" s="15"/>
      <c r="E64" s="9"/>
      <c r="F64" s="9" t="s">
        <v>117</v>
      </c>
      <c r="G64" s="9" t="s">
        <v>115</v>
      </c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25.5">
      <c r="A65" s="22" t="s">
        <v>245</v>
      </c>
      <c r="B65" s="9"/>
      <c r="C65" s="9" t="s">
        <v>18</v>
      </c>
      <c r="D65" s="14">
        <v>14130010000000000</v>
      </c>
      <c r="E65" s="9" t="s">
        <v>108</v>
      </c>
      <c r="F65" s="9" t="s">
        <v>246</v>
      </c>
      <c r="G65" s="10"/>
      <c r="H65" s="126">
        <f>I65</f>
        <v>25500</v>
      </c>
      <c r="I65" s="78">
        <v>25500</v>
      </c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/>
    </row>
    <row r="66" spans="1:15" s="25" customFormat="1" ht="12.75" hidden="1">
      <c r="A66" s="22" t="s">
        <v>14</v>
      </c>
      <c r="B66" s="9"/>
      <c r="C66" s="9" t="s">
        <v>18</v>
      </c>
      <c r="D66" s="14">
        <v>14130030000000000</v>
      </c>
      <c r="E66" s="695" t="s">
        <v>108</v>
      </c>
      <c r="F66" s="9" t="s">
        <v>118</v>
      </c>
      <c r="G66" s="9" t="s">
        <v>115</v>
      </c>
      <c r="H66" s="126">
        <f t="shared" si="2"/>
        <v>0</v>
      </c>
      <c r="I66" s="79"/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 t="s">
        <v>76</v>
      </c>
    </row>
    <row r="67" spans="1:15" s="25" customFormat="1" ht="51">
      <c r="A67" s="82" t="s">
        <v>237</v>
      </c>
      <c r="B67" s="9"/>
      <c r="C67" s="83" t="s">
        <v>18</v>
      </c>
      <c r="D67" s="9" t="s">
        <v>81</v>
      </c>
      <c r="E67" s="695"/>
      <c r="F67" s="84" t="s">
        <v>238</v>
      </c>
      <c r="G67" s="84" t="s">
        <v>115</v>
      </c>
      <c r="H67" s="126">
        <f t="shared" si="2"/>
        <v>56000</v>
      </c>
      <c r="I67" s="113">
        <v>56000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/>
    </row>
    <row r="68" spans="1:15" s="25" customFormat="1" ht="38.25">
      <c r="A68" s="82" t="s">
        <v>239</v>
      </c>
      <c r="B68" s="9"/>
      <c r="C68" s="83" t="s">
        <v>18</v>
      </c>
      <c r="D68" s="9" t="s">
        <v>81</v>
      </c>
      <c r="E68" s="83" t="s">
        <v>108</v>
      </c>
      <c r="F68" s="84" t="s">
        <v>240</v>
      </c>
      <c r="G68" s="84" t="s">
        <v>115</v>
      </c>
      <c r="H68" s="126">
        <f t="shared" si="2"/>
        <v>1400</v>
      </c>
      <c r="I68" s="106">
        <v>1400</v>
      </c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25.5">
      <c r="A69" s="22" t="s">
        <v>241</v>
      </c>
      <c r="B69" s="9"/>
      <c r="C69" s="9" t="s">
        <v>18</v>
      </c>
      <c r="D69" s="14">
        <v>14130030000000000</v>
      </c>
      <c r="E69" s="10" t="s">
        <v>108</v>
      </c>
      <c r="F69" s="9" t="s">
        <v>242</v>
      </c>
      <c r="G69" s="9" t="s">
        <v>115</v>
      </c>
      <c r="H69" s="126">
        <f t="shared" si="2"/>
        <v>20000</v>
      </c>
      <c r="I69" s="79">
        <v>20000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85" t="s">
        <v>243</v>
      </c>
      <c r="B70" s="57"/>
      <c r="C70" s="9" t="s">
        <v>18</v>
      </c>
      <c r="D70" s="14">
        <v>14130030000000000</v>
      </c>
      <c r="E70" s="9" t="s">
        <v>108</v>
      </c>
      <c r="F70" s="9" t="s">
        <v>244</v>
      </c>
      <c r="G70" s="9" t="s">
        <v>115</v>
      </c>
      <c r="H70" s="126">
        <f t="shared" si="2"/>
        <v>20000</v>
      </c>
      <c r="I70" s="79">
        <v>20000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12.75" hidden="1">
      <c r="A71" s="691" t="s">
        <v>188</v>
      </c>
      <c r="B71" s="9"/>
      <c r="C71" s="693" t="s">
        <v>18</v>
      </c>
      <c r="D71" s="9" t="s">
        <v>81</v>
      </c>
      <c r="E71" s="693" t="s">
        <v>108</v>
      </c>
      <c r="F71" s="693" t="s">
        <v>119</v>
      </c>
      <c r="G71" s="693" t="s">
        <v>115</v>
      </c>
      <c r="H71" s="126">
        <f t="shared" si="2"/>
        <v>0</v>
      </c>
      <c r="I71" s="78"/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/>
    </row>
    <row r="72" spans="1:15" s="25" customFormat="1" ht="12.75" hidden="1">
      <c r="A72" s="692"/>
      <c r="B72" s="9"/>
      <c r="C72" s="694"/>
      <c r="D72" s="14">
        <v>14130030000000000</v>
      </c>
      <c r="E72" s="694"/>
      <c r="F72" s="694"/>
      <c r="G72" s="694"/>
      <c r="H72" s="126">
        <f t="shared" si="2"/>
        <v>0</v>
      </c>
      <c r="I72" s="79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 t="s">
        <v>76</v>
      </c>
    </row>
    <row r="73" spans="1:15" s="25" customFormat="1" ht="27.75" customHeight="1">
      <c r="A73" s="681" t="s">
        <v>189</v>
      </c>
      <c r="B73" s="683"/>
      <c r="C73" s="27" t="s">
        <v>20</v>
      </c>
      <c r="D73" s="3"/>
      <c r="E73" s="27"/>
      <c r="F73" s="3"/>
      <c r="G73" s="3"/>
      <c r="H73" s="124">
        <f>I73</f>
        <v>4098400</v>
      </c>
      <c r="I73" s="97">
        <f>SUM(I74:I89)</f>
        <v>4098400</v>
      </c>
      <c r="J73" s="110"/>
      <c r="K73" s="111" t="s">
        <v>107</v>
      </c>
      <c r="L73" s="111"/>
      <c r="M73" s="111"/>
      <c r="N73" s="111" t="s">
        <v>107</v>
      </c>
      <c r="O73" s="28"/>
    </row>
    <row r="74" spans="1:15" s="25" customFormat="1" ht="15" customHeight="1">
      <c r="A74" s="22" t="s">
        <v>9</v>
      </c>
      <c r="B74" s="9"/>
      <c r="C74" s="9" t="s">
        <v>20</v>
      </c>
      <c r="D74" s="9" t="s">
        <v>81</v>
      </c>
      <c r="E74" s="9" t="s">
        <v>108</v>
      </c>
      <c r="F74" s="9" t="s">
        <v>120</v>
      </c>
      <c r="G74" s="9" t="s">
        <v>115</v>
      </c>
      <c r="H74" s="126">
        <f>I74</f>
        <v>1083500</v>
      </c>
      <c r="I74" s="78">
        <v>1083500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 t="s">
        <v>76</v>
      </c>
    </row>
    <row r="75" spans="1:15" s="25" customFormat="1" ht="11.25" customHeight="1">
      <c r="A75" s="691" t="s">
        <v>11</v>
      </c>
      <c r="B75" s="9"/>
      <c r="C75" s="693" t="s">
        <v>20</v>
      </c>
      <c r="D75" s="9" t="s">
        <v>81</v>
      </c>
      <c r="E75" s="693" t="s">
        <v>108</v>
      </c>
      <c r="F75" s="693" t="s">
        <v>121</v>
      </c>
      <c r="G75" s="693" t="s">
        <v>115</v>
      </c>
      <c r="H75" s="126">
        <f aca="true" t="shared" si="3" ref="H75:H89">I75</f>
        <v>246900</v>
      </c>
      <c r="I75" s="112">
        <v>246900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 t="s">
        <v>76</v>
      </c>
    </row>
    <row r="76" spans="1:15" s="25" customFormat="1" ht="12.75">
      <c r="A76" s="692"/>
      <c r="B76" s="9"/>
      <c r="C76" s="694"/>
      <c r="D76" s="14">
        <v>14130030000000000</v>
      </c>
      <c r="E76" s="694"/>
      <c r="F76" s="694"/>
      <c r="G76" s="694"/>
      <c r="H76" s="126">
        <f t="shared" si="3"/>
        <v>2020000</v>
      </c>
      <c r="I76" s="112">
        <v>2020000</v>
      </c>
      <c r="J76" s="114"/>
      <c r="K76" s="101" t="s">
        <v>76</v>
      </c>
      <c r="L76" s="101"/>
      <c r="M76" s="101"/>
      <c r="N76" s="101" t="s">
        <v>76</v>
      </c>
      <c r="O76" s="6"/>
    </row>
    <row r="77" spans="1:15" s="25" customFormat="1" ht="12.75">
      <c r="A77" s="691" t="s">
        <v>12</v>
      </c>
      <c r="B77" s="9"/>
      <c r="C77" s="693" t="s">
        <v>20</v>
      </c>
      <c r="D77" s="9" t="s">
        <v>81</v>
      </c>
      <c r="E77" s="693" t="s">
        <v>108</v>
      </c>
      <c r="F77" s="693" t="s">
        <v>116</v>
      </c>
      <c r="G77" s="693" t="s">
        <v>115</v>
      </c>
      <c r="H77" s="126">
        <f t="shared" si="3"/>
        <v>99900</v>
      </c>
      <c r="I77" s="78">
        <v>99900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12.75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3"/>
        <v>534800</v>
      </c>
      <c r="I78" s="115">
        <v>534800</v>
      </c>
      <c r="J78" s="78"/>
      <c r="K78" s="107" t="s">
        <v>76</v>
      </c>
      <c r="L78" s="107"/>
      <c r="M78" s="107"/>
      <c r="N78" s="107" t="s">
        <v>76</v>
      </c>
      <c r="O78" s="6"/>
    </row>
    <row r="79" spans="1:15" s="25" customFormat="1" ht="12.75">
      <c r="A79" s="22" t="s">
        <v>249</v>
      </c>
      <c r="B79" s="9"/>
      <c r="C79" s="9" t="s">
        <v>20</v>
      </c>
      <c r="D79" s="9" t="s">
        <v>81</v>
      </c>
      <c r="E79" s="9" t="s">
        <v>108</v>
      </c>
      <c r="F79" s="9" t="s">
        <v>206</v>
      </c>
      <c r="G79" s="9" t="s">
        <v>122</v>
      </c>
      <c r="H79" s="126">
        <f t="shared" si="3"/>
        <v>55400</v>
      </c>
      <c r="I79" s="78">
        <v>55400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2.75">
      <c r="A80" s="22" t="s">
        <v>249</v>
      </c>
      <c r="B80" s="9"/>
      <c r="C80" s="9" t="s">
        <v>20</v>
      </c>
      <c r="D80" s="9" t="s">
        <v>81</v>
      </c>
      <c r="E80" s="9" t="s">
        <v>108</v>
      </c>
      <c r="F80" s="9" t="s">
        <v>206</v>
      </c>
      <c r="G80" s="9" t="s">
        <v>250</v>
      </c>
      <c r="H80" s="126">
        <f t="shared" si="3"/>
        <v>4800</v>
      </c>
      <c r="I80" s="79">
        <v>4800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 t="s">
        <v>76</v>
      </c>
    </row>
    <row r="81" spans="1:15" s="25" customFormat="1" ht="12.75" hidden="1">
      <c r="A81" s="22" t="s">
        <v>14</v>
      </c>
      <c r="B81" s="9"/>
      <c r="C81" s="9" t="s">
        <v>20</v>
      </c>
      <c r="D81" s="9" t="s">
        <v>81</v>
      </c>
      <c r="E81" s="9" t="s">
        <v>124</v>
      </c>
      <c r="F81" s="9" t="s">
        <v>118</v>
      </c>
      <c r="G81" s="9" t="s">
        <v>115</v>
      </c>
      <c r="H81" s="126">
        <f t="shared" si="3"/>
        <v>0</v>
      </c>
      <c r="I81" s="78"/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51" hidden="1">
      <c r="A82" s="82" t="s">
        <v>237</v>
      </c>
      <c r="B82" s="9"/>
      <c r="C82" s="83" t="s">
        <v>18</v>
      </c>
      <c r="D82" s="9" t="s">
        <v>81</v>
      </c>
      <c r="E82" s="83" t="s">
        <v>124</v>
      </c>
      <c r="F82" s="84" t="s">
        <v>238</v>
      </c>
      <c r="G82" s="84" t="s">
        <v>115</v>
      </c>
      <c r="H82" s="126">
        <f t="shared" si="3"/>
        <v>0</v>
      </c>
      <c r="I82" s="78"/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/>
    </row>
    <row r="83" spans="1:15" s="25" customFormat="1" ht="38.25" hidden="1">
      <c r="A83" s="82" t="s">
        <v>239</v>
      </c>
      <c r="B83" s="9"/>
      <c r="C83" s="83" t="s">
        <v>18</v>
      </c>
      <c r="D83" s="9" t="s">
        <v>81</v>
      </c>
      <c r="E83" s="83" t="s">
        <v>124</v>
      </c>
      <c r="F83" s="84" t="s">
        <v>240</v>
      </c>
      <c r="G83" s="84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/>
    </row>
    <row r="84" spans="1:15" s="25" customFormat="1" ht="25.5">
      <c r="A84" s="85" t="s">
        <v>248</v>
      </c>
      <c r="B84" s="9"/>
      <c r="C84" s="9" t="s">
        <v>20</v>
      </c>
      <c r="D84" s="9" t="s">
        <v>81</v>
      </c>
      <c r="E84" s="83" t="s">
        <v>108</v>
      </c>
      <c r="F84" s="84" t="s">
        <v>247</v>
      </c>
      <c r="G84" s="84" t="s">
        <v>115</v>
      </c>
      <c r="H84" s="126">
        <f t="shared" si="3"/>
        <v>10000</v>
      </c>
      <c r="I84" s="78">
        <v>10000</v>
      </c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25.5">
      <c r="A85" s="22" t="s">
        <v>241</v>
      </c>
      <c r="B85" s="9"/>
      <c r="C85" s="9" t="s">
        <v>20</v>
      </c>
      <c r="D85" s="9" t="s">
        <v>81</v>
      </c>
      <c r="E85" s="9" t="s">
        <v>108</v>
      </c>
      <c r="F85" s="9" t="s">
        <v>242</v>
      </c>
      <c r="G85" s="9" t="s">
        <v>115</v>
      </c>
      <c r="H85" s="126">
        <f t="shared" si="3"/>
        <v>33100</v>
      </c>
      <c r="I85" s="78">
        <v>33100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85" t="s">
        <v>243</v>
      </c>
      <c r="B86" s="57"/>
      <c r="C86" s="9" t="s">
        <v>20</v>
      </c>
      <c r="D86" s="9" t="s">
        <v>81</v>
      </c>
      <c r="E86" s="9" t="s">
        <v>108</v>
      </c>
      <c r="F86" s="9" t="s">
        <v>244</v>
      </c>
      <c r="G86" s="9" t="s">
        <v>115</v>
      </c>
      <c r="H86" s="126">
        <f t="shared" si="3"/>
        <v>10000</v>
      </c>
      <c r="I86" s="78">
        <v>10000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12.75" hidden="1">
      <c r="A87" s="22"/>
      <c r="B87" s="9"/>
      <c r="C87" s="9"/>
      <c r="D87" s="9"/>
      <c r="E87" s="9"/>
      <c r="F87" s="9"/>
      <c r="G87" s="9"/>
      <c r="H87" s="126"/>
      <c r="I87" s="78"/>
      <c r="J87" s="78"/>
      <c r="K87" s="107"/>
      <c r="L87" s="107"/>
      <c r="M87" s="107"/>
      <c r="N87" s="107"/>
      <c r="O87" s="6"/>
    </row>
    <row r="88" spans="1:15" s="25" customFormat="1" ht="12.75" hidden="1">
      <c r="A88" s="22"/>
      <c r="B88" s="9"/>
      <c r="C88" s="9"/>
      <c r="D88" s="9"/>
      <c r="E88" s="9"/>
      <c r="F88" s="9"/>
      <c r="G88" s="9"/>
      <c r="H88" s="126"/>
      <c r="I88" s="78"/>
      <c r="J88" s="78"/>
      <c r="K88" s="107"/>
      <c r="L88" s="107"/>
      <c r="M88" s="107"/>
      <c r="N88" s="107"/>
      <c r="O88" s="6"/>
    </row>
    <row r="89" spans="1:15" s="25" customFormat="1" ht="12.75" hidden="1">
      <c r="A89" s="22" t="s">
        <v>188</v>
      </c>
      <c r="B89" s="9"/>
      <c r="C89" s="9" t="s">
        <v>20</v>
      </c>
      <c r="D89" s="9" t="s">
        <v>81</v>
      </c>
      <c r="E89" s="9" t="s">
        <v>108</v>
      </c>
      <c r="F89" s="9" t="s">
        <v>119</v>
      </c>
      <c r="G89" s="9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13.5">
      <c r="A90" s="681" t="s">
        <v>125</v>
      </c>
      <c r="B90" s="683"/>
      <c r="C90" s="27" t="s">
        <v>21</v>
      </c>
      <c r="D90" s="3"/>
      <c r="E90" s="27"/>
      <c r="F90" s="3"/>
      <c r="G90" s="3"/>
      <c r="H90" s="124">
        <f>K90</f>
        <v>676900</v>
      </c>
      <c r="I90" s="98"/>
      <c r="J90" s="97"/>
      <c r="K90" s="97">
        <f>K93</f>
        <v>676900</v>
      </c>
      <c r="L90" s="110"/>
      <c r="M90" s="110"/>
      <c r="N90" s="111" t="s">
        <v>107</v>
      </c>
      <c r="O90" s="28"/>
    </row>
    <row r="91" spans="1:15" s="25" customFormat="1" ht="12.75" hidden="1">
      <c r="A91" s="22" t="s">
        <v>4</v>
      </c>
      <c r="B91" s="9"/>
      <c r="C91" s="9"/>
      <c r="D91" s="9"/>
      <c r="E91" s="9"/>
      <c r="F91" s="9" t="s">
        <v>99</v>
      </c>
      <c r="G91" s="9" t="s">
        <v>109</v>
      </c>
      <c r="H91" s="126">
        <f>I91</f>
        <v>0</v>
      </c>
      <c r="I91" s="78"/>
      <c r="J91" s="78"/>
      <c r="K91" s="116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2.75" hidden="1">
      <c r="A92" s="22" t="s">
        <v>5</v>
      </c>
      <c r="B92" s="9"/>
      <c r="C92" s="9"/>
      <c r="D92" s="9"/>
      <c r="E92" s="9"/>
      <c r="F92" s="9"/>
      <c r="G92" s="9"/>
      <c r="H92" s="126">
        <f>I92</f>
        <v>0</v>
      </c>
      <c r="I92" s="78"/>
      <c r="J92" s="78"/>
      <c r="K92" s="116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3.5">
      <c r="A93" s="22" t="s">
        <v>12</v>
      </c>
      <c r="B93" s="9"/>
      <c r="C93" s="41" t="s">
        <v>21</v>
      </c>
      <c r="D93" s="9" t="s">
        <v>89</v>
      </c>
      <c r="E93" s="9" t="s">
        <v>126</v>
      </c>
      <c r="F93" s="9" t="s">
        <v>116</v>
      </c>
      <c r="G93" s="9" t="s">
        <v>115</v>
      </c>
      <c r="H93" s="126">
        <f aca="true" t="shared" si="4" ref="H93:H103">K93</f>
        <v>676900</v>
      </c>
      <c r="I93" s="107" t="s">
        <v>76</v>
      </c>
      <c r="J93" s="78"/>
      <c r="K93" s="105">
        <v>676900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8.75" customHeight="1" hidden="1">
      <c r="A94" s="687" t="s">
        <v>127</v>
      </c>
      <c r="B94" s="688"/>
      <c r="C94" s="27" t="s">
        <v>22</v>
      </c>
      <c r="D94" s="3"/>
      <c r="E94" s="3"/>
      <c r="F94" s="3"/>
      <c r="G94" s="3"/>
      <c r="H94" s="131">
        <f t="shared" si="4"/>
        <v>0</v>
      </c>
      <c r="I94" s="117"/>
      <c r="J94" s="110"/>
      <c r="K94" s="118">
        <f>K95</f>
        <v>0</v>
      </c>
      <c r="L94" s="117"/>
      <c r="M94" s="117"/>
      <c r="N94" s="117"/>
      <c r="O94" s="6"/>
    </row>
    <row r="95" spans="1:15" s="25" customFormat="1" ht="13.5" customHeight="1" hidden="1">
      <c r="A95" s="22" t="s">
        <v>12</v>
      </c>
      <c r="B95" s="40"/>
      <c r="C95" s="41" t="s">
        <v>22</v>
      </c>
      <c r="D95" s="9" t="s">
        <v>81</v>
      </c>
      <c r="E95" s="9" t="s">
        <v>108</v>
      </c>
      <c r="F95" s="9" t="s">
        <v>116</v>
      </c>
      <c r="G95" s="9" t="s">
        <v>115</v>
      </c>
      <c r="H95" s="126">
        <f t="shared" si="4"/>
        <v>0</v>
      </c>
      <c r="I95" s="107" t="s">
        <v>76</v>
      </c>
      <c r="J95" s="78"/>
      <c r="K95" s="116"/>
      <c r="L95" s="107"/>
      <c r="M95" s="107"/>
      <c r="N95" s="107" t="s">
        <v>76</v>
      </c>
      <c r="O95" s="6"/>
    </row>
    <row r="96" spans="1:15" s="25" customFormat="1" ht="28.5" customHeight="1" hidden="1">
      <c r="A96" s="39" t="s">
        <v>190</v>
      </c>
      <c r="B96" s="55"/>
      <c r="C96" s="27" t="s">
        <v>41</v>
      </c>
      <c r="D96" s="3"/>
      <c r="E96" s="3"/>
      <c r="F96" s="3"/>
      <c r="G96" s="3"/>
      <c r="H96" s="124">
        <f t="shared" si="4"/>
        <v>0</v>
      </c>
      <c r="I96" s="119"/>
      <c r="J96" s="97"/>
      <c r="K96" s="120">
        <f>K97</f>
        <v>0</v>
      </c>
      <c r="L96" s="117"/>
      <c r="M96" s="117"/>
      <c r="N96" s="117"/>
      <c r="O96" s="6"/>
    </row>
    <row r="97" spans="1:15" s="25" customFormat="1" ht="12.75" hidden="1">
      <c r="A97" s="61" t="s">
        <v>12</v>
      </c>
      <c r="B97" s="67"/>
      <c r="C97" s="59" t="s">
        <v>41</v>
      </c>
      <c r="D97" s="59" t="s">
        <v>81</v>
      </c>
      <c r="E97" s="59" t="s">
        <v>154</v>
      </c>
      <c r="F97" s="59" t="s">
        <v>116</v>
      </c>
      <c r="G97" s="59" t="s">
        <v>115</v>
      </c>
      <c r="H97" s="127">
        <f t="shared" si="4"/>
        <v>0</v>
      </c>
      <c r="I97" s="101" t="s">
        <v>76</v>
      </c>
      <c r="J97" s="100"/>
      <c r="K97" s="104"/>
      <c r="L97" s="101"/>
      <c r="M97" s="101"/>
      <c r="N97" s="101" t="s">
        <v>76</v>
      </c>
      <c r="O97" s="6"/>
    </row>
    <row r="98" spans="1:15" s="25" customFormat="1" ht="54.75" customHeight="1" hidden="1">
      <c r="A98" s="681" t="s">
        <v>234</v>
      </c>
      <c r="B98" s="683"/>
      <c r="C98" s="27" t="s">
        <v>211</v>
      </c>
      <c r="D98" s="3"/>
      <c r="E98" s="3"/>
      <c r="F98" s="3"/>
      <c r="G98" s="3"/>
      <c r="H98" s="124">
        <f t="shared" si="4"/>
        <v>0</v>
      </c>
      <c r="I98" s="117" t="s">
        <v>76</v>
      </c>
      <c r="J98" s="110"/>
      <c r="K98" s="97">
        <f>SUM(K99:K103)</f>
        <v>0</v>
      </c>
      <c r="L98" s="117"/>
      <c r="M98" s="117"/>
      <c r="N98" s="117" t="s">
        <v>76</v>
      </c>
      <c r="O98" s="6"/>
    </row>
    <row r="99" spans="1:15" s="25" customFormat="1" ht="12.75" hidden="1">
      <c r="A99" s="22" t="s">
        <v>12</v>
      </c>
      <c r="B99" s="57"/>
      <c r="C99" s="9" t="s">
        <v>204</v>
      </c>
      <c r="D99" s="9" t="s">
        <v>81</v>
      </c>
      <c r="E99" s="9" t="s">
        <v>108</v>
      </c>
      <c r="F99" s="9" t="s">
        <v>116</v>
      </c>
      <c r="G99" s="9" t="s">
        <v>115</v>
      </c>
      <c r="H99" s="126">
        <f t="shared" si="4"/>
        <v>0</v>
      </c>
      <c r="I99" s="107" t="s">
        <v>76</v>
      </c>
      <c r="J99" s="107"/>
      <c r="K99" s="116"/>
      <c r="L99" s="107"/>
      <c r="M99" s="107"/>
      <c r="N99" s="107" t="s">
        <v>76</v>
      </c>
      <c r="O99" s="6"/>
    </row>
    <row r="100" spans="1:15" s="25" customFormat="1" ht="12.75" hidden="1">
      <c r="A100" s="22" t="s">
        <v>213</v>
      </c>
      <c r="B100" s="9"/>
      <c r="C100" s="9" t="s">
        <v>211</v>
      </c>
      <c r="D100" s="9" t="s">
        <v>212</v>
      </c>
      <c r="E100" s="9" t="s">
        <v>108</v>
      </c>
      <c r="F100" s="9" t="s">
        <v>116</v>
      </c>
      <c r="G100" s="9" t="s">
        <v>115</v>
      </c>
      <c r="H100" s="126">
        <f t="shared" si="4"/>
        <v>0</v>
      </c>
      <c r="I100" s="107" t="s">
        <v>76</v>
      </c>
      <c r="J100" s="78"/>
      <c r="K100" s="116"/>
      <c r="L100" s="107"/>
      <c r="M100" s="107"/>
      <c r="N100" s="107" t="s">
        <v>76</v>
      </c>
      <c r="O100" s="64" t="s">
        <v>76</v>
      </c>
    </row>
    <row r="101" spans="1:15" s="25" customFormat="1" ht="12.75" hidden="1">
      <c r="A101" s="61" t="s">
        <v>213</v>
      </c>
      <c r="B101" s="59"/>
      <c r="C101" s="59" t="s">
        <v>211</v>
      </c>
      <c r="D101" s="59" t="s">
        <v>214</v>
      </c>
      <c r="E101" s="59" t="s">
        <v>108</v>
      </c>
      <c r="F101" s="59" t="s">
        <v>116</v>
      </c>
      <c r="G101" s="59" t="s">
        <v>115</v>
      </c>
      <c r="H101" s="127">
        <f t="shared" si="4"/>
        <v>0</v>
      </c>
      <c r="I101" s="101" t="s">
        <v>76</v>
      </c>
      <c r="J101" s="100"/>
      <c r="K101" s="116"/>
      <c r="L101" s="101"/>
      <c r="M101" s="101"/>
      <c r="N101" s="101" t="s">
        <v>76</v>
      </c>
      <c r="O101" s="6"/>
    </row>
    <row r="102" spans="1:15" s="25" customFormat="1" ht="12.75" hidden="1">
      <c r="A102" s="61" t="s">
        <v>213</v>
      </c>
      <c r="B102" s="59"/>
      <c r="C102" s="59" t="s">
        <v>211</v>
      </c>
      <c r="D102" s="59" t="s">
        <v>215</v>
      </c>
      <c r="E102" s="59" t="s">
        <v>108</v>
      </c>
      <c r="F102" s="59" t="s">
        <v>116</v>
      </c>
      <c r="G102" s="59" t="s">
        <v>115</v>
      </c>
      <c r="H102" s="127">
        <f t="shared" si="4"/>
        <v>0</v>
      </c>
      <c r="I102" s="101" t="s">
        <v>76</v>
      </c>
      <c r="J102" s="100"/>
      <c r="K102" s="116"/>
      <c r="L102" s="101"/>
      <c r="M102" s="101"/>
      <c r="N102" s="101" t="s">
        <v>76</v>
      </c>
      <c r="O102" s="6"/>
    </row>
    <row r="103" spans="1:15" s="25" customFormat="1" ht="12.75" hidden="1">
      <c r="A103" s="61" t="s">
        <v>213</v>
      </c>
      <c r="B103" s="59"/>
      <c r="C103" s="59" t="s">
        <v>211</v>
      </c>
      <c r="D103" s="59" t="s">
        <v>216</v>
      </c>
      <c r="E103" s="59" t="s">
        <v>108</v>
      </c>
      <c r="F103" s="59" t="s">
        <v>116</v>
      </c>
      <c r="G103" s="59" t="s">
        <v>115</v>
      </c>
      <c r="H103" s="127">
        <f t="shared" si="4"/>
        <v>0</v>
      </c>
      <c r="I103" s="101" t="s">
        <v>76</v>
      </c>
      <c r="J103" s="100"/>
      <c r="K103" s="116"/>
      <c r="L103" s="101"/>
      <c r="M103" s="101"/>
      <c r="N103" s="101" t="s">
        <v>76</v>
      </c>
      <c r="O103" s="6"/>
    </row>
    <row r="104" spans="1:15" s="25" customFormat="1" ht="41.25" customHeight="1" hidden="1">
      <c r="A104" s="681" t="s">
        <v>217</v>
      </c>
      <c r="B104" s="683"/>
      <c r="C104" s="27" t="s">
        <v>51</v>
      </c>
      <c r="D104" s="43"/>
      <c r="E104" s="42"/>
      <c r="F104" s="42"/>
      <c r="G104" s="42"/>
      <c r="H104" s="124"/>
      <c r="I104" s="119"/>
      <c r="J104" s="97"/>
      <c r="K104" s="120">
        <f>SUM(K106:K111)</f>
        <v>0</v>
      </c>
      <c r="L104" s="119"/>
      <c r="M104" s="119"/>
      <c r="N104" s="119"/>
      <c r="O104" s="6"/>
    </row>
    <row r="105" spans="1:15" s="25" customFormat="1" ht="12.75" hidden="1">
      <c r="A105" s="61" t="s">
        <v>11</v>
      </c>
      <c r="B105" s="59"/>
      <c r="C105" s="59" t="s">
        <v>51</v>
      </c>
      <c r="D105" s="59" t="s">
        <v>81</v>
      </c>
      <c r="E105" s="59" t="s">
        <v>218</v>
      </c>
      <c r="F105" s="59" t="s">
        <v>121</v>
      </c>
      <c r="G105" s="59" t="s">
        <v>115</v>
      </c>
      <c r="H105" s="127">
        <f aca="true" t="shared" si="5" ref="H105:H111">K105</f>
        <v>0</v>
      </c>
      <c r="I105" s="101" t="s">
        <v>76</v>
      </c>
      <c r="J105" s="102"/>
      <c r="K105" s="104"/>
      <c r="L105" s="102"/>
      <c r="M105" s="100"/>
      <c r="N105" s="101" t="s">
        <v>76</v>
      </c>
      <c r="O105" s="6"/>
    </row>
    <row r="106" spans="1:15" s="25" customFormat="1" ht="12.75" hidden="1">
      <c r="A106" s="684" t="s">
        <v>12</v>
      </c>
      <c r="B106" s="9"/>
      <c r="C106" s="678" t="s">
        <v>51</v>
      </c>
      <c r="D106" s="9" t="s">
        <v>81</v>
      </c>
      <c r="E106" s="678" t="s">
        <v>218</v>
      </c>
      <c r="F106" s="678" t="s">
        <v>116</v>
      </c>
      <c r="G106" s="678" t="s">
        <v>115</v>
      </c>
      <c r="H106" s="126">
        <f t="shared" si="5"/>
        <v>0</v>
      </c>
      <c r="I106" s="107" t="s">
        <v>76</v>
      </c>
      <c r="J106" s="107"/>
      <c r="K106" s="116"/>
      <c r="L106" s="101"/>
      <c r="M106" s="101"/>
      <c r="N106" s="101" t="s">
        <v>76</v>
      </c>
      <c r="O106" s="6"/>
    </row>
    <row r="107" spans="1:15" s="25" customFormat="1" ht="12.75" hidden="1">
      <c r="A107" s="685"/>
      <c r="B107" s="9"/>
      <c r="C107" s="679"/>
      <c r="D107" s="9" t="s">
        <v>219</v>
      </c>
      <c r="E107" s="679"/>
      <c r="F107" s="679"/>
      <c r="G107" s="679"/>
      <c r="H107" s="126">
        <f t="shared" si="5"/>
        <v>0</v>
      </c>
      <c r="I107" s="107" t="s">
        <v>76</v>
      </c>
      <c r="J107" s="107"/>
      <c r="K107" s="116"/>
      <c r="L107" s="101"/>
      <c r="M107" s="101"/>
      <c r="N107" s="101" t="s">
        <v>76</v>
      </c>
      <c r="O107" s="6"/>
    </row>
    <row r="108" spans="1:15" s="25" customFormat="1" ht="12.75" hidden="1">
      <c r="A108" s="686"/>
      <c r="B108" s="9"/>
      <c r="C108" s="680"/>
      <c r="D108" s="9" t="s">
        <v>196</v>
      </c>
      <c r="E108" s="680"/>
      <c r="F108" s="680"/>
      <c r="G108" s="680"/>
      <c r="H108" s="126">
        <f t="shared" si="5"/>
        <v>0</v>
      </c>
      <c r="I108" s="107"/>
      <c r="J108" s="107"/>
      <c r="K108" s="116"/>
      <c r="L108" s="101"/>
      <c r="M108" s="101"/>
      <c r="N108" s="101"/>
      <c r="O108" s="6"/>
    </row>
    <row r="109" spans="1:15" s="25" customFormat="1" ht="25.5" hidden="1">
      <c r="A109" s="22" t="s">
        <v>220</v>
      </c>
      <c r="B109" s="9"/>
      <c r="C109" s="9" t="s">
        <v>51</v>
      </c>
      <c r="D109" s="9" t="s">
        <v>81</v>
      </c>
      <c r="E109" s="9" t="s">
        <v>218</v>
      </c>
      <c r="F109" s="9" t="s">
        <v>118</v>
      </c>
      <c r="G109" s="9" t="s">
        <v>115</v>
      </c>
      <c r="H109" s="126">
        <f>K109</f>
        <v>0</v>
      </c>
      <c r="I109" s="107" t="s">
        <v>76</v>
      </c>
      <c r="J109" s="107"/>
      <c r="K109" s="116"/>
      <c r="L109" s="101"/>
      <c r="M109" s="101"/>
      <c r="N109" s="101" t="s">
        <v>76</v>
      </c>
      <c r="O109" s="6"/>
    </row>
    <row r="110" spans="1:15" s="25" customFormat="1" ht="12.75" hidden="1">
      <c r="A110" s="684" t="s">
        <v>221</v>
      </c>
      <c r="B110" s="9"/>
      <c r="C110" s="678" t="s">
        <v>51</v>
      </c>
      <c r="D110" s="9" t="s">
        <v>81</v>
      </c>
      <c r="E110" s="678" t="s">
        <v>218</v>
      </c>
      <c r="F110" s="678" t="s">
        <v>119</v>
      </c>
      <c r="G110" s="678" t="s">
        <v>115</v>
      </c>
      <c r="H110" s="126">
        <f t="shared" si="5"/>
        <v>0</v>
      </c>
      <c r="I110" s="107" t="s">
        <v>76</v>
      </c>
      <c r="J110" s="107"/>
      <c r="K110" s="116"/>
      <c r="L110" s="101"/>
      <c r="M110" s="101"/>
      <c r="N110" s="101" t="s">
        <v>76</v>
      </c>
      <c r="O110" s="6"/>
    </row>
    <row r="111" spans="1:15" s="25" customFormat="1" ht="12.75" hidden="1">
      <c r="A111" s="686"/>
      <c r="B111" s="9"/>
      <c r="C111" s="680"/>
      <c r="D111" s="9" t="s">
        <v>196</v>
      </c>
      <c r="E111" s="680"/>
      <c r="F111" s="680"/>
      <c r="G111" s="680"/>
      <c r="H111" s="126">
        <f t="shared" si="5"/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5" customHeight="1" hidden="1">
      <c r="A112" s="681" t="s">
        <v>210</v>
      </c>
      <c r="B112" s="683"/>
      <c r="C112" s="27" t="s">
        <v>163</v>
      </c>
      <c r="D112" s="44"/>
      <c r="E112" s="3"/>
      <c r="F112" s="3"/>
      <c r="G112" s="3"/>
      <c r="H112" s="131"/>
      <c r="I112" s="117"/>
      <c r="J112" s="110"/>
      <c r="K112" s="120">
        <f>K113+K114</f>
        <v>0</v>
      </c>
      <c r="L112" s="117"/>
      <c r="M112" s="117"/>
      <c r="N112" s="117"/>
      <c r="O112" s="6"/>
    </row>
    <row r="113" spans="1:15" s="25" customFormat="1" ht="15" customHeight="1" hidden="1">
      <c r="A113" s="22" t="s">
        <v>11</v>
      </c>
      <c r="B113" s="40"/>
      <c r="C113" s="41" t="s">
        <v>163</v>
      </c>
      <c r="D113" s="6" t="s">
        <v>162</v>
      </c>
      <c r="E113" s="9" t="s">
        <v>157</v>
      </c>
      <c r="F113" s="46">
        <v>225</v>
      </c>
      <c r="G113" s="9" t="s">
        <v>115</v>
      </c>
      <c r="H113" s="129" t="s">
        <v>76</v>
      </c>
      <c r="I113" s="107" t="s">
        <v>76</v>
      </c>
      <c r="J113" s="78"/>
      <c r="K113" s="116"/>
      <c r="L113" s="107"/>
      <c r="M113" s="107"/>
      <c r="N113" s="107" t="s">
        <v>76</v>
      </c>
      <c r="O113" s="6"/>
    </row>
    <row r="114" spans="1:15" s="25" customFormat="1" ht="13.5" hidden="1">
      <c r="A114" s="47" t="s">
        <v>14</v>
      </c>
      <c r="B114" s="40"/>
      <c r="C114" s="41" t="s">
        <v>163</v>
      </c>
      <c r="D114" s="6" t="s">
        <v>162</v>
      </c>
      <c r="E114" s="9" t="s">
        <v>157</v>
      </c>
      <c r="F114" s="9" t="s">
        <v>118</v>
      </c>
      <c r="G114" s="9" t="s">
        <v>115</v>
      </c>
      <c r="H114" s="126"/>
      <c r="I114" s="107"/>
      <c r="J114" s="78"/>
      <c r="K114" s="116"/>
      <c r="L114" s="107"/>
      <c r="M114" s="107"/>
      <c r="N114" s="107"/>
      <c r="O114" s="6"/>
    </row>
    <row r="115" spans="1:15" s="25" customFormat="1" ht="15" customHeight="1" hidden="1">
      <c r="A115" s="681" t="s">
        <v>177</v>
      </c>
      <c r="B115" s="683"/>
      <c r="C115" s="27" t="s">
        <v>23</v>
      </c>
      <c r="D115" s="44"/>
      <c r="E115" s="3"/>
      <c r="F115" s="3"/>
      <c r="G115" s="3"/>
      <c r="H115" s="131"/>
      <c r="I115" s="117"/>
      <c r="J115" s="110"/>
      <c r="K115" s="118">
        <f>K116</f>
        <v>0</v>
      </c>
      <c r="L115" s="117"/>
      <c r="M115" s="117"/>
      <c r="N115" s="117"/>
      <c r="O115" s="6"/>
    </row>
    <row r="116" spans="1:15" s="25" customFormat="1" ht="15" customHeight="1" hidden="1">
      <c r="A116" s="22" t="s">
        <v>178</v>
      </c>
      <c r="B116" s="9"/>
      <c r="C116" s="9" t="s">
        <v>23</v>
      </c>
      <c r="D116" s="9" t="s">
        <v>81</v>
      </c>
      <c r="E116" s="9" t="s">
        <v>108</v>
      </c>
      <c r="F116" s="9" t="s">
        <v>116</v>
      </c>
      <c r="G116" s="9" t="s">
        <v>115</v>
      </c>
      <c r="H116" s="126"/>
      <c r="I116" s="107"/>
      <c r="J116" s="78"/>
      <c r="K116" s="116"/>
      <c r="L116" s="107"/>
      <c r="M116" s="107"/>
      <c r="N116" s="107"/>
      <c r="O116" s="6"/>
    </row>
    <row r="117" spans="1:15" s="25" customFormat="1" ht="29.25" customHeight="1" hidden="1">
      <c r="A117" s="681" t="s">
        <v>191</v>
      </c>
      <c r="B117" s="683"/>
      <c r="C117" s="27" t="s">
        <v>192</v>
      </c>
      <c r="D117" s="3"/>
      <c r="E117" s="3"/>
      <c r="F117" s="3"/>
      <c r="G117" s="3"/>
      <c r="H117" s="124">
        <f aca="true" t="shared" si="6" ref="H117:H123">K117</f>
        <v>0</v>
      </c>
      <c r="I117" s="119"/>
      <c r="J117" s="97"/>
      <c r="K117" s="97">
        <f>K118+K119</f>
        <v>0</v>
      </c>
      <c r="L117" s="117"/>
      <c r="M117" s="117"/>
      <c r="N117" s="117"/>
      <c r="O117" s="6"/>
    </row>
    <row r="118" spans="1:15" s="25" customFormat="1" ht="16.5" customHeight="1" hidden="1">
      <c r="A118" s="61" t="s">
        <v>195</v>
      </c>
      <c r="B118" s="67"/>
      <c r="C118" s="59" t="s">
        <v>192</v>
      </c>
      <c r="D118" s="59" t="s">
        <v>193</v>
      </c>
      <c r="E118" s="59" t="s">
        <v>108</v>
      </c>
      <c r="F118" s="59" t="s">
        <v>121</v>
      </c>
      <c r="G118" s="59" t="s">
        <v>194</v>
      </c>
      <c r="H118" s="127">
        <f t="shared" si="6"/>
        <v>0</v>
      </c>
      <c r="I118" s="101" t="s">
        <v>76</v>
      </c>
      <c r="J118" s="100"/>
      <c r="K118" s="104"/>
      <c r="L118" s="101"/>
      <c r="M118" s="101"/>
      <c r="N118" s="101" t="s">
        <v>76</v>
      </c>
      <c r="O118" s="6"/>
    </row>
    <row r="119" spans="1:15" s="25" customFormat="1" ht="16.5" customHeight="1" hidden="1">
      <c r="A119" s="61" t="s">
        <v>195</v>
      </c>
      <c r="B119" s="68"/>
      <c r="C119" s="59" t="s">
        <v>192</v>
      </c>
      <c r="D119" s="59" t="s">
        <v>196</v>
      </c>
      <c r="E119" s="59" t="s">
        <v>108</v>
      </c>
      <c r="F119" s="59" t="s">
        <v>121</v>
      </c>
      <c r="G119" s="59" t="s">
        <v>194</v>
      </c>
      <c r="H119" s="127">
        <f t="shared" si="6"/>
        <v>0</v>
      </c>
      <c r="I119" s="101" t="s">
        <v>76</v>
      </c>
      <c r="J119" s="100"/>
      <c r="K119" s="104"/>
      <c r="L119" s="101"/>
      <c r="M119" s="101"/>
      <c r="N119" s="101" t="s">
        <v>76</v>
      </c>
      <c r="O119" s="6"/>
    </row>
    <row r="120" spans="1:15" s="25" customFormat="1" ht="16.5" customHeight="1" hidden="1">
      <c r="A120" s="39" t="s">
        <v>222</v>
      </c>
      <c r="B120" s="38"/>
      <c r="C120" s="27" t="s">
        <v>203</v>
      </c>
      <c r="D120" s="3"/>
      <c r="E120" s="3"/>
      <c r="F120" s="3"/>
      <c r="G120" s="3"/>
      <c r="H120" s="124">
        <f t="shared" si="6"/>
        <v>0</v>
      </c>
      <c r="I120" s="117" t="s">
        <v>76</v>
      </c>
      <c r="J120" s="110"/>
      <c r="K120" s="120">
        <f>K121</f>
        <v>0</v>
      </c>
      <c r="L120" s="117"/>
      <c r="M120" s="117"/>
      <c r="N120" s="117" t="s">
        <v>76</v>
      </c>
      <c r="O120" s="6"/>
    </row>
    <row r="121" spans="1:15" s="25" customFormat="1" ht="24" customHeight="1" hidden="1">
      <c r="A121" s="22" t="s">
        <v>236</v>
      </c>
      <c r="B121" s="40"/>
      <c r="C121" s="9" t="s">
        <v>203</v>
      </c>
      <c r="D121" s="9" t="s">
        <v>81</v>
      </c>
      <c r="E121" s="9" t="s">
        <v>108</v>
      </c>
      <c r="F121" s="9" t="s">
        <v>205</v>
      </c>
      <c r="G121" s="9" t="s">
        <v>123</v>
      </c>
      <c r="H121" s="126">
        <f t="shared" si="6"/>
        <v>0</v>
      </c>
      <c r="I121" s="107" t="s">
        <v>76</v>
      </c>
      <c r="J121" s="78"/>
      <c r="K121" s="121"/>
      <c r="L121" s="107"/>
      <c r="M121" s="107"/>
      <c r="N121" s="107" t="s">
        <v>76</v>
      </c>
      <c r="O121" s="6"/>
    </row>
    <row r="122" spans="1:15" s="25" customFormat="1" ht="12.75" hidden="1">
      <c r="A122" s="75" t="s">
        <v>226</v>
      </c>
      <c r="B122" s="58"/>
      <c r="C122" s="42" t="s">
        <v>23</v>
      </c>
      <c r="D122" s="42"/>
      <c r="E122" s="42"/>
      <c r="F122" s="42"/>
      <c r="G122" s="42"/>
      <c r="H122" s="125">
        <f t="shared" si="6"/>
        <v>0</v>
      </c>
      <c r="I122" s="119"/>
      <c r="J122" s="98"/>
      <c r="K122" s="97">
        <f>K123</f>
        <v>0</v>
      </c>
      <c r="L122" s="119"/>
      <c r="M122" s="119"/>
      <c r="N122" s="119"/>
      <c r="O122" s="6"/>
    </row>
    <row r="123" spans="1:15" s="25" customFormat="1" ht="12.75" hidden="1">
      <c r="A123" s="76" t="s">
        <v>227</v>
      </c>
      <c r="B123" s="57"/>
      <c r="C123" s="9" t="s">
        <v>23</v>
      </c>
      <c r="D123" s="9" t="s">
        <v>228</v>
      </c>
      <c r="E123" s="9" t="s">
        <v>157</v>
      </c>
      <c r="F123" s="9" t="s">
        <v>116</v>
      </c>
      <c r="G123" s="9" t="s">
        <v>115</v>
      </c>
      <c r="H123" s="129">
        <f t="shared" si="6"/>
        <v>0</v>
      </c>
      <c r="I123" s="107"/>
      <c r="J123" s="26"/>
      <c r="K123" s="78"/>
      <c r="L123" s="107"/>
      <c r="M123" s="107"/>
      <c r="N123" s="107"/>
      <c r="O123" s="6"/>
    </row>
    <row r="124" spans="1:15" s="25" customFormat="1" ht="12.75" hidden="1">
      <c r="A124" s="77" t="s">
        <v>231</v>
      </c>
      <c r="B124" s="58"/>
      <c r="C124" s="87" t="s">
        <v>230</v>
      </c>
      <c r="D124" s="53"/>
      <c r="E124" s="53"/>
      <c r="F124" s="53"/>
      <c r="G124" s="53"/>
      <c r="H124" s="124">
        <f>K124</f>
        <v>0</v>
      </c>
      <c r="I124" s="119"/>
      <c r="J124" s="97"/>
      <c r="K124" s="98">
        <f>K125</f>
        <v>0</v>
      </c>
      <c r="L124" s="119"/>
      <c r="M124" s="119"/>
      <c r="N124" s="119"/>
      <c r="O124" s="6"/>
    </row>
    <row r="125" spans="1:15" s="25" customFormat="1" ht="12.75" hidden="1">
      <c r="A125" s="22" t="s">
        <v>227</v>
      </c>
      <c r="B125" s="57"/>
      <c r="C125" s="9" t="s">
        <v>230</v>
      </c>
      <c r="D125" s="9" t="s">
        <v>81</v>
      </c>
      <c r="E125" s="9" t="s">
        <v>232</v>
      </c>
      <c r="F125" s="9" t="s">
        <v>116</v>
      </c>
      <c r="G125" s="9" t="s">
        <v>115</v>
      </c>
      <c r="H125" s="126">
        <f>K125</f>
        <v>0</v>
      </c>
      <c r="I125" s="107"/>
      <c r="J125" s="78"/>
      <c r="K125" s="26"/>
      <c r="L125" s="107"/>
      <c r="M125" s="107"/>
      <c r="N125" s="107"/>
      <c r="O125" s="6"/>
    </row>
    <row r="126" spans="1:15" s="25" customFormat="1" ht="29.25" customHeight="1">
      <c r="A126" s="681" t="s">
        <v>224</v>
      </c>
      <c r="B126" s="682"/>
      <c r="C126" s="27" t="s">
        <v>80</v>
      </c>
      <c r="D126" s="3"/>
      <c r="E126" s="3"/>
      <c r="F126" s="3"/>
      <c r="G126" s="3"/>
      <c r="H126" s="124">
        <f>N126</f>
        <v>30000</v>
      </c>
      <c r="I126" s="119"/>
      <c r="J126" s="119"/>
      <c r="K126" s="119"/>
      <c r="L126" s="119"/>
      <c r="M126" s="119"/>
      <c r="N126" s="97">
        <f>SUM(N127:N134)</f>
        <v>30000</v>
      </c>
      <c r="O126" s="6"/>
    </row>
    <row r="127" spans="1:15" s="25" customFormat="1" ht="13.5" customHeight="1" hidden="1">
      <c r="A127" s="45" t="s">
        <v>8</v>
      </c>
      <c r="B127" s="8"/>
      <c r="C127" s="9" t="s">
        <v>80</v>
      </c>
      <c r="D127" s="9" t="s">
        <v>81</v>
      </c>
      <c r="E127" s="9" t="s">
        <v>108</v>
      </c>
      <c r="F127" s="9" t="s">
        <v>128</v>
      </c>
      <c r="G127" s="9" t="s">
        <v>115</v>
      </c>
      <c r="H127" s="126">
        <f aca="true" t="shared" si="7" ref="H127:H133">N127</f>
        <v>0</v>
      </c>
      <c r="I127" s="107" t="s">
        <v>76</v>
      </c>
      <c r="J127" s="107" t="s">
        <v>76</v>
      </c>
      <c r="K127" s="107" t="s">
        <v>76</v>
      </c>
      <c r="L127" s="107" t="s">
        <v>76</v>
      </c>
      <c r="M127" s="107"/>
      <c r="N127" s="122"/>
      <c r="O127" s="6"/>
    </row>
    <row r="128" spans="1:15" s="25" customFormat="1" ht="13.5" customHeight="1" hidden="1">
      <c r="A128" s="22" t="s">
        <v>11</v>
      </c>
      <c r="B128" s="9"/>
      <c r="C128" s="9" t="s">
        <v>80</v>
      </c>
      <c r="D128" s="9" t="s">
        <v>81</v>
      </c>
      <c r="E128" s="9" t="s">
        <v>108</v>
      </c>
      <c r="F128" s="9" t="s">
        <v>121</v>
      </c>
      <c r="G128" s="9" t="s">
        <v>115</v>
      </c>
      <c r="H128" s="126">
        <f t="shared" si="7"/>
        <v>0</v>
      </c>
      <c r="I128" s="107" t="s">
        <v>76</v>
      </c>
      <c r="J128" s="107" t="s">
        <v>76</v>
      </c>
      <c r="K128" s="107" t="s">
        <v>76</v>
      </c>
      <c r="L128" s="107" t="s">
        <v>76</v>
      </c>
      <c r="M128" s="107"/>
      <c r="N128" s="122"/>
      <c r="O128" s="6"/>
    </row>
    <row r="129" spans="1:15" s="25" customFormat="1" ht="13.5" customHeight="1" hidden="1">
      <c r="A129" s="22" t="s">
        <v>11</v>
      </c>
      <c r="B129" s="9"/>
      <c r="C129" s="9" t="s">
        <v>80</v>
      </c>
      <c r="D129" s="9" t="s">
        <v>81</v>
      </c>
      <c r="E129" s="9" t="s">
        <v>218</v>
      </c>
      <c r="F129" s="9" t="s">
        <v>121</v>
      </c>
      <c r="G129" s="9" t="s">
        <v>115</v>
      </c>
      <c r="H129" s="126">
        <f>N129</f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 t="s">
        <v>76</v>
      </c>
      <c r="N129" s="78"/>
      <c r="O129" s="6"/>
    </row>
    <row r="130" spans="1:15" s="25" customFormat="1" ht="13.5" customHeight="1" hidden="1">
      <c r="A130" s="22" t="s">
        <v>12</v>
      </c>
      <c r="B130" s="9"/>
      <c r="C130" s="9" t="s">
        <v>80</v>
      </c>
      <c r="D130" s="9" t="s">
        <v>81</v>
      </c>
      <c r="E130" s="9" t="s">
        <v>108</v>
      </c>
      <c r="F130" s="9" t="s">
        <v>116</v>
      </c>
      <c r="G130" s="9" t="s">
        <v>115</v>
      </c>
      <c r="H130" s="126">
        <f t="shared" si="7"/>
        <v>0</v>
      </c>
      <c r="I130" s="107" t="s">
        <v>76</v>
      </c>
      <c r="J130" s="107"/>
      <c r="K130" s="107" t="s">
        <v>76</v>
      </c>
      <c r="L130" s="107" t="s">
        <v>76</v>
      </c>
      <c r="M130" s="107"/>
      <c r="N130" s="139"/>
      <c r="O130" s="6"/>
    </row>
    <row r="131" spans="1:15" s="25" customFormat="1" ht="13.5" customHeight="1">
      <c r="A131" s="22" t="s">
        <v>12</v>
      </c>
      <c r="B131" s="9"/>
      <c r="C131" s="9" t="s">
        <v>80</v>
      </c>
      <c r="D131" s="9" t="s">
        <v>81</v>
      </c>
      <c r="E131" s="9" t="s">
        <v>108</v>
      </c>
      <c r="F131" s="9" t="s">
        <v>116</v>
      </c>
      <c r="G131" s="9" t="s">
        <v>115</v>
      </c>
      <c r="H131" s="126">
        <f>N131</f>
        <v>30000</v>
      </c>
      <c r="I131" s="107" t="s">
        <v>76</v>
      </c>
      <c r="J131" s="107" t="s">
        <v>76</v>
      </c>
      <c r="K131" s="107" t="s">
        <v>76</v>
      </c>
      <c r="L131" s="107" t="s">
        <v>76</v>
      </c>
      <c r="M131" s="107" t="s">
        <v>76</v>
      </c>
      <c r="N131" s="78">
        <v>30000</v>
      </c>
      <c r="O131" s="6"/>
    </row>
    <row r="132" spans="1:15" s="25" customFormat="1" ht="13.5" customHeight="1" hidden="1">
      <c r="A132" s="22" t="s">
        <v>14</v>
      </c>
      <c r="B132" s="9"/>
      <c r="C132" s="9" t="s">
        <v>80</v>
      </c>
      <c r="D132" s="9" t="s">
        <v>81</v>
      </c>
      <c r="E132" s="9" t="s">
        <v>108</v>
      </c>
      <c r="F132" s="9" t="s">
        <v>118</v>
      </c>
      <c r="G132" s="9" t="s">
        <v>115</v>
      </c>
      <c r="H132" s="126">
        <f t="shared" si="7"/>
        <v>0</v>
      </c>
      <c r="I132" s="107" t="s">
        <v>76</v>
      </c>
      <c r="J132" s="107" t="s">
        <v>76</v>
      </c>
      <c r="K132" s="107" t="s">
        <v>76</v>
      </c>
      <c r="L132" s="107" t="s">
        <v>76</v>
      </c>
      <c r="M132" s="107"/>
      <c r="N132" s="122"/>
      <c r="O132" s="6"/>
    </row>
    <row r="133" spans="1:15" s="25" customFormat="1" ht="13.5" customHeight="1" hidden="1">
      <c r="A133" s="22" t="s">
        <v>188</v>
      </c>
      <c r="B133" s="9"/>
      <c r="C133" s="9" t="s">
        <v>80</v>
      </c>
      <c r="D133" s="9" t="s">
        <v>81</v>
      </c>
      <c r="E133" s="9" t="s">
        <v>108</v>
      </c>
      <c r="F133" s="9" t="s">
        <v>119</v>
      </c>
      <c r="G133" s="9" t="s">
        <v>115</v>
      </c>
      <c r="H133" s="126">
        <f t="shared" si="7"/>
        <v>0</v>
      </c>
      <c r="I133" s="107" t="s">
        <v>76</v>
      </c>
      <c r="J133" s="107"/>
      <c r="K133" s="107" t="s">
        <v>76</v>
      </c>
      <c r="L133" s="107" t="s">
        <v>76</v>
      </c>
      <c r="M133" s="107"/>
      <c r="N133" s="99"/>
      <c r="O133" s="6"/>
    </row>
    <row r="134" spans="1:15" s="25" customFormat="1" ht="13.5" customHeight="1" hidden="1">
      <c r="A134" s="66" t="s">
        <v>221</v>
      </c>
      <c r="B134" s="66"/>
      <c r="C134" s="59" t="s">
        <v>80</v>
      </c>
      <c r="D134" s="59" t="s">
        <v>81</v>
      </c>
      <c r="E134" s="59" t="s">
        <v>218</v>
      </c>
      <c r="F134" s="59" t="s">
        <v>119</v>
      </c>
      <c r="G134" s="59" t="s">
        <v>115</v>
      </c>
      <c r="H134" s="127">
        <f>N134</f>
        <v>0</v>
      </c>
      <c r="I134" s="101" t="s">
        <v>76</v>
      </c>
      <c r="J134" s="123"/>
      <c r="K134" s="107" t="s">
        <v>76</v>
      </c>
      <c r="L134" s="123"/>
      <c r="M134" s="123"/>
      <c r="N134" s="78"/>
      <c r="O134" s="6"/>
    </row>
    <row r="135" spans="1:15" s="25" customFormat="1" ht="27">
      <c r="A135" s="96" t="s">
        <v>129</v>
      </c>
      <c r="B135" s="32" t="s">
        <v>130</v>
      </c>
      <c r="C135" s="33" t="s">
        <v>76</v>
      </c>
      <c r="D135" s="33" t="s">
        <v>76</v>
      </c>
      <c r="E135" s="33" t="s">
        <v>76</v>
      </c>
      <c r="F135" s="33" t="s">
        <v>76</v>
      </c>
      <c r="G135" s="33" t="s">
        <v>76</v>
      </c>
      <c r="H135" s="130">
        <f>I135+N135+K135</f>
        <v>16679700</v>
      </c>
      <c r="I135" s="130">
        <f>I50+I53+I79+I80+I51+I65</f>
        <v>16679700</v>
      </c>
      <c r="J135" s="130"/>
      <c r="K135" s="130">
        <f>K121</f>
        <v>0</v>
      </c>
      <c r="L135" s="134" t="s">
        <v>76</v>
      </c>
      <c r="M135" s="134" t="s">
        <v>76</v>
      </c>
      <c r="N135" s="130"/>
      <c r="O135" s="6" t="s">
        <v>76</v>
      </c>
    </row>
    <row r="136" spans="1:15" s="25" customFormat="1" ht="27">
      <c r="A136" s="96" t="s">
        <v>131</v>
      </c>
      <c r="B136" s="32" t="s">
        <v>132</v>
      </c>
      <c r="C136" s="33" t="s">
        <v>76</v>
      </c>
      <c r="D136" s="33" t="s">
        <v>76</v>
      </c>
      <c r="E136" s="33" t="s">
        <v>76</v>
      </c>
      <c r="F136" s="33" t="s">
        <v>76</v>
      </c>
      <c r="G136" s="33" t="s">
        <v>76</v>
      </c>
      <c r="H136" s="130">
        <f>H138+H137</f>
        <v>5223400</v>
      </c>
      <c r="I136" s="130">
        <f>I138+I137</f>
        <v>4516500</v>
      </c>
      <c r="J136" s="130">
        <f>J138+J137</f>
        <v>0</v>
      </c>
      <c r="K136" s="130">
        <f>K138+K137</f>
        <v>676900</v>
      </c>
      <c r="L136" s="134"/>
      <c r="M136" s="134"/>
      <c r="N136" s="130">
        <f>N138+N137</f>
        <v>30000</v>
      </c>
      <c r="O136" s="6"/>
    </row>
    <row r="137" spans="1:15" s="25" customFormat="1" ht="24" customHeight="1">
      <c r="A137" s="96" t="s">
        <v>133</v>
      </c>
      <c r="B137" s="32" t="s">
        <v>134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I137+N137+K137</f>
        <v>0</v>
      </c>
      <c r="I137" s="130"/>
      <c r="J137" s="130"/>
      <c r="K137" s="130">
        <v>0</v>
      </c>
      <c r="L137" s="134"/>
      <c r="M137" s="134"/>
      <c r="N137" s="130">
        <v>0</v>
      </c>
      <c r="O137" s="6"/>
    </row>
    <row r="138" spans="1:15" s="25" customFormat="1" ht="12.75" customHeight="1">
      <c r="A138" s="96" t="s">
        <v>135</v>
      </c>
      <c r="B138" s="32" t="s">
        <v>136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I138+N138+K138</f>
        <v>5223400</v>
      </c>
      <c r="I138" s="130">
        <f>I55+I60+I61+I62+I63+I66+I71+I72+I74+I75+I76+I77+I78+I89+I84+I85+I67+I68+I69+I70+I86</f>
        <v>4516500</v>
      </c>
      <c r="J138" s="130"/>
      <c r="K138" s="130">
        <f>K93+K97+K118+K119+K106+K107+K108+K111+K113+K100+K101+K102+K103+K99+K123+K125+K110</f>
        <v>676900</v>
      </c>
      <c r="L138" s="134" t="s">
        <v>76</v>
      </c>
      <c r="M138" s="134" t="s">
        <v>76</v>
      </c>
      <c r="N138" s="130">
        <f>N127+N128+N130+N132+N133+N129+N131+N134</f>
        <v>30000</v>
      </c>
      <c r="O138" s="6" t="s">
        <v>76</v>
      </c>
    </row>
    <row r="139" spans="1:15" s="25" customFormat="1" ht="13.5" hidden="1">
      <c r="A139" s="8" t="s">
        <v>137</v>
      </c>
      <c r="B139" s="9" t="s">
        <v>138</v>
      </c>
      <c r="C139" s="34" t="s">
        <v>76</v>
      </c>
      <c r="D139" s="34" t="s">
        <v>76</v>
      </c>
      <c r="E139" s="34" t="s">
        <v>76</v>
      </c>
      <c r="F139" s="34" t="s">
        <v>76</v>
      </c>
      <c r="G139" s="34" t="s">
        <v>76</v>
      </c>
      <c r="H139" s="126">
        <f>I139+N139</f>
        <v>0</v>
      </c>
      <c r="I139" s="126">
        <v>0</v>
      </c>
      <c r="J139" s="126"/>
      <c r="K139" s="126"/>
      <c r="L139" s="135" t="s">
        <v>76</v>
      </c>
      <c r="M139" s="135" t="s">
        <v>76</v>
      </c>
      <c r="N139" s="126">
        <v>0</v>
      </c>
      <c r="O139" s="6" t="s">
        <v>76</v>
      </c>
    </row>
    <row r="140" spans="1:15" s="25" customFormat="1" ht="13.5" hidden="1">
      <c r="A140" s="20" t="s">
        <v>139</v>
      </c>
      <c r="B140" s="9" t="s">
        <v>118</v>
      </c>
      <c r="C140" s="34" t="s">
        <v>76</v>
      </c>
      <c r="D140" s="34" t="s">
        <v>76</v>
      </c>
      <c r="E140" s="34" t="s">
        <v>76</v>
      </c>
      <c r="F140" s="34" t="s">
        <v>76</v>
      </c>
      <c r="G140" s="34" t="s">
        <v>76</v>
      </c>
      <c r="H140" s="126">
        <v>0</v>
      </c>
      <c r="I140" s="126">
        <v>0</v>
      </c>
      <c r="J140" s="126"/>
      <c r="K140" s="126"/>
      <c r="L140" s="135" t="s">
        <v>76</v>
      </c>
      <c r="M140" s="135" t="s">
        <v>76</v>
      </c>
      <c r="N140" s="126">
        <v>0</v>
      </c>
      <c r="O140" s="6" t="s">
        <v>76</v>
      </c>
    </row>
    <row r="141" spans="1:15" s="25" customFormat="1" ht="13.5" hidden="1">
      <c r="A141" s="20" t="s">
        <v>140</v>
      </c>
      <c r="B141" s="9" t="s">
        <v>141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142</v>
      </c>
      <c r="B142" s="9" t="s">
        <v>143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144</v>
      </c>
      <c r="B143" s="9" t="s">
        <v>145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146</v>
      </c>
      <c r="B144" s="9" t="s">
        <v>147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48" t="s">
        <v>137</v>
      </c>
      <c r="B145" s="49" t="s">
        <v>138</v>
      </c>
      <c r="C145" s="50" t="s">
        <v>173</v>
      </c>
      <c r="D145" s="49" t="s">
        <v>81</v>
      </c>
      <c r="E145" s="50" t="s">
        <v>174</v>
      </c>
      <c r="F145" s="50" t="s">
        <v>174</v>
      </c>
      <c r="G145" s="50" t="s">
        <v>175</v>
      </c>
      <c r="H145" s="132"/>
      <c r="I145" s="136"/>
      <c r="J145" s="136"/>
      <c r="K145" s="136"/>
      <c r="L145" s="137"/>
      <c r="M145" s="137"/>
      <c r="N145" s="136"/>
      <c r="O145" s="6"/>
    </row>
    <row r="146" spans="1:15" s="25" customFormat="1" ht="13.5" hidden="1">
      <c r="A146" s="51" t="s">
        <v>142</v>
      </c>
      <c r="B146" s="49" t="s">
        <v>143</v>
      </c>
      <c r="C146" s="50" t="s">
        <v>173</v>
      </c>
      <c r="D146" s="49" t="s">
        <v>81</v>
      </c>
      <c r="E146" s="50" t="s">
        <v>174</v>
      </c>
      <c r="F146" s="50" t="s">
        <v>174</v>
      </c>
      <c r="G146" s="50" t="s">
        <v>176</v>
      </c>
      <c r="H146" s="132"/>
      <c r="I146" s="136"/>
      <c r="J146" s="136"/>
      <c r="K146" s="136"/>
      <c r="L146" s="137"/>
      <c r="M146" s="137"/>
      <c r="N146" s="136"/>
      <c r="O146" s="6"/>
    </row>
    <row r="147" spans="1:15" s="25" customFormat="1" ht="13.5">
      <c r="A147" s="35" t="s">
        <v>148</v>
      </c>
      <c r="B147" s="36" t="s">
        <v>149</v>
      </c>
      <c r="C147" s="37" t="s">
        <v>76</v>
      </c>
      <c r="D147" s="37" t="s">
        <v>76</v>
      </c>
      <c r="E147" s="37" t="s">
        <v>76</v>
      </c>
      <c r="F147" s="37" t="s">
        <v>76</v>
      </c>
      <c r="G147" s="37" t="s">
        <v>76</v>
      </c>
      <c r="H147" s="133">
        <f>I147+K147+N147</f>
        <v>0</v>
      </c>
      <c r="I147" s="133">
        <v>0</v>
      </c>
      <c r="J147" s="133"/>
      <c r="K147" s="133"/>
      <c r="L147" s="138" t="s">
        <v>76</v>
      </c>
      <c r="M147" s="138" t="s">
        <v>76</v>
      </c>
      <c r="N147" s="133"/>
      <c r="O147" s="6" t="s">
        <v>76</v>
      </c>
    </row>
    <row r="148" spans="1:15" s="25" customFormat="1" ht="13.5">
      <c r="A148" s="20" t="s">
        <v>150</v>
      </c>
      <c r="B148" s="9" t="s">
        <v>151</v>
      </c>
      <c r="C148" s="34" t="s">
        <v>76</v>
      </c>
      <c r="D148" s="34" t="s">
        <v>76</v>
      </c>
      <c r="E148" s="34" t="s">
        <v>76</v>
      </c>
      <c r="F148" s="34" t="s">
        <v>76</v>
      </c>
      <c r="G148" s="34" t="s">
        <v>76</v>
      </c>
      <c r="H148" s="126">
        <v>0</v>
      </c>
      <c r="I148" s="126">
        <v>0</v>
      </c>
      <c r="J148" s="126"/>
      <c r="K148" s="126"/>
      <c r="L148" s="135" t="s">
        <v>76</v>
      </c>
      <c r="M148" s="135" t="s">
        <v>76</v>
      </c>
      <c r="N148" s="126">
        <v>0</v>
      </c>
      <c r="O148" s="6" t="s">
        <v>76</v>
      </c>
    </row>
    <row r="150" ht="12.75">
      <c r="A150" s="88" t="s">
        <v>271</v>
      </c>
    </row>
    <row r="151" ht="12.75">
      <c r="A151" s="88"/>
    </row>
    <row r="152" ht="19.5" customHeight="1">
      <c r="A152" s="88" t="s">
        <v>17</v>
      </c>
    </row>
    <row r="153" ht="12.75">
      <c r="A153" s="88" t="s">
        <v>272</v>
      </c>
    </row>
    <row r="154" ht="12.75">
      <c r="A154" s="88"/>
    </row>
    <row r="155" ht="13.5" customHeight="1">
      <c r="A155" s="89"/>
    </row>
    <row r="156" ht="13.5" customHeight="1">
      <c r="A156" s="89"/>
    </row>
    <row r="157" ht="12.75" customHeight="1">
      <c r="A157" s="89"/>
    </row>
    <row r="158" ht="12.7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</sheetData>
  <sheetProtection/>
  <mergeCells count="80">
    <mergeCell ref="I5:O5"/>
    <mergeCell ref="N6:O6"/>
    <mergeCell ref="D4:D6"/>
    <mergeCell ref="E4:E6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F4:F6"/>
    <mergeCell ref="G4:G6"/>
    <mergeCell ref="H4:O4"/>
    <mergeCell ref="H5:H6"/>
    <mergeCell ref="J15:J16"/>
    <mergeCell ref="A16:A17"/>
    <mergeCell ref="C16:C17"/>
    <mergeCell ref="E16:E17"/>
    <mergeCell ref="F16:F17"/>
    <mergeCell ref="G16:G17"/>
    <mergeCell ref="E62:E63"/>
    <mergeCell ref="C34:C36"/>
    <mergeCell ref="F34:F36"/>
    <mergeCell ref="A18:A22"/>
    <mergeCell ref="C18:C22"/>
    <mergeCell ref="F18:F22"/>
    <mergeCell ref="B15:B22"/>
    <mergeCell ref="A29:A33"/>
    <mergeCell ref="F29:F33"/>
    <mergeCell ref="A34:A36"/>
    <mergeCell ref="F39:F40"/>
    <mergeCell ref="G62:G63"/>
    <mergeCell ref="G71:G72"/>
    <mergeCell ref="A77:A78"/>
    <mergeCell ref="A49:B49"/>
    <mergeCell ref="A55:A60"/>
    <mergeCell ref="F55:F60"/>
    <mergeCell ref="A73:B73"/>
    <mergeCell ref="E71:E72"/>
    <mergeCell ref="C55:C60"/>
    <mergeCell ref="G75:G76"/>
    <mergeCell ref="F62:F63"/>
    <mergeCell ref="E75:E76"/>
    <mergeCell ref="C77:C78"/>
    <mergeCell ref="E77:E78"/>
    <mergeCell ref="F75:F76"/>
    <mergeCell ref="G77:G78"/>
    <mergeCell ref="F77:F78"/>
    <mergeCell ref="F71:F72"/>
    <mergeCell ref="E66:E67"/>
    <mergeCell ref="A39:A40"/>
    <mergeCell ref="C39:C40"/>
    <mergeCell ref="A75:A76"/>
    <mergeCell ref="C75:C76"/>
    <mergeCell ref="A71:A72"/>
    <mergeCell ref="C71:C72"/>
    <mergeCell ref="A62:A63"/>
    <mergeCell ref="C62:C63"/>
    <mergeCell ref="G110:G111"/>
    <mergeCell ref="A94:B94"/>
    <mergeCell ref="A98:B98"/>
    <mergeCell ref="F110:F111"/>
    <mergeCell ref="A104:B104"/>
    <mergeCell ref="A110:A111"/>
    <mergeCell ref="G106:G108"/>
    <mergeCell ref="F106:F108"/>
    <mergeCell ref="E110:E111"/>
    <mergeCell ref="C106:C108"/>
    <mergeCell ref="E106:E108"/>
    <mergeCell ref="C110:C111"/>
    <mergeCell ref="A126:B126"/>
    <mergeCell ref="A90:B90"/>
    <mergeCell ref="A112:B112"/>
    <mergeCell ref="A115:B115"/>
    <mergeCell ref="A117:B117"/>
    <mergeCell ref="A106:A10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6"/>
  <sheetViews>
    <sheetView view="pageBreakPreview" zoomScale="115" zoomScaleSheetLayoutView="115" zoomScalePageLayoutView="0" workbookViewId="0" topLeftCell="A108">
      <selection activeCell="K116" sqref="K116:K117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508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23" t="s">
        <v>74</v>
      </c>
      <c r="B9" s="24" t="s">
        <v>75</v>
      </c>
      <c r="C9" s="24" t="s">
        <v>76</v>
      </c>
      <c r="D9" s="556" t="s">
        <v>76</v>
      </c>
      <c r="E9" s="556" t="s">
        <v>76</v>
      </c>
      <c r="F9" s="556" t="s">
        <v>76</v>
      </c>
      <c r="G9" s="556" t="s">
        <v>76</v>
      </c>
      <c r="H9" s="130">
        <f>H10+H16+H24</f>
        <v>24291585.82</v>
      </c>
      <c r="I9" s="130">
        <f>I16</f>
        <v>21856043</v>
      </c>
      <c r="J9" s="130"/>
      <c r="K9" s="130">
        <f>K24</f>
        <v>2333538.7</v>
      </c>
      <c r="L9" s="557" t="s">
        <v>76</v>
      </c>
      <c r="M9" s="557" t="s">
        <v>76</v>
      </c>
      <c r="N9" s="130">
        <f>N10</f>
        <v>102004.12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102004.12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102004.12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21856043</v>
      </c>
      <c r="I16" s="78">
        <f>I17+I19+I20+I18+I23</f>
        <v>21856043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17498704</v>
      </c>
      <c r="I18" s="359">
        <f>16689500+661600+147604</f>
        <v>17498704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1394239</v>
      </c>
      <c r="I19" s="359">
        <f>1543600-149361</f>
        <v>1394239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23.25" customHeight="1">
      <c r="A24" s="555" t="s">
        <v>87</v>
      </c>
      <c r="B24" s="44" t="s">
        <v>88</v>
      </c>
      <c r="C24" s="44" t="s">
        <v>76</v>
      </c>
      <c r="D24" s="44" t="s">
        <v>76</v>
      </c>
      <c r="E24" s="44" t="s">
        <v>76</v>
      </c>
      <c r="F24" s="44" t="s">
        <v>76</v>
      </c>
      <c r="G24" s="44" t="s">
        <v>76</v>
      </c>
      <c r="H24" s="131">
        <f>K24</f>
        <v>2333538.7</v>
      </c>
      <c r="I24" s="111" t="s">
        <v>76</v>
      </c>
      <c r="J24" s="110"/>
      <c r="K24" s="110">
        <f>SUM(K25:K49)</f>
        <v>2333538.7</v>
      </c>
      <c r="L24" s="111" t="s">
        <v>76</v>
      </c>
      <c r="M24" s="111" t="s">
        <v>76</v>
      </c>
      <c r="N24" s="111" t="s">
        <v>76</v>
      </c>
      <c r="O24" s="7" t="s">
        <v>76</v>
      </c>
    </row>
    <row r="25" spans="1:16" ht="69" customHeight="1">
      <c r="A25" s="81" t="s">
        <v>45</v>
      </c>
      <c r="B25" s="6"/>
      <c r="C25" s="17" t="s">
        <v>21</v>
      </c>
      <c r="D25" s="389" t="s">
        <v>89</v>
      </c>
      <c r="E25" s="6"/>
      <c r="F25" s="6" t="s">
        <v>284</v>
      </c>
      <c r="G25" s="6"/>
      <c r="H25" s="390">
        <f>K25</f>
        <v>683740</v>
      </c>
      <c r="I25" s="107" t="s">
        <v>76</v>
      </c>
      <c r="J25" s="116"/>
      <c r="K25" s="391">
        <f>676900-23560+30400</f>
        <v>683740</v>
      </c>
      <c r="L25" s="107" t="s">
        <v>76</v>
      </c>
      <c r="M25" s="107" t="s">
        <v>76</v>
      </c>
      <c r="N25" s="107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17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15" customHeight="1">
      <c r="A30" s="699" t="s">
        <v>280</v>
      </c>
      <c r="B30" s="62"/>
      <c r="C30" s="741" t="s">
        <v>50</v>
      </c>
      <c r="D30" s="693" t="s">
        <v>81</v>
      </c>
      <c r="E30" s="9"/>
      <c r="F30" s="560" t="s">
        <v>501</v>
      </c>
      <c r="G30" s="9"/>
      <c r="H30" s="126">
        <f>K30</f>
        <v>24673</v>
      </c>
      <c r="I30" s="107"/>
      <c r="J30" s="322"/>
      <c r="K30" s="78">
        <v>24673</v>
      </c>
      <c r="L30" s="323"/>
      <c r="M30" s="323"/>
      <c r="N30" s="107"/>
      <c r="O30" s="7"/>
    </row>
    <row r="31" spans="1:15" ht="15" customHeight="1">
      <c r="A31" s="700"/>
      <c r="B31" s="62"/>
      <c r="C31" s="743"/>
      <c r="D31" s="694"/>
      <c r="E31" s="392"/>
      <c r="F31" s="6" t="s">
        <v>284</v>
      </c>
      <c r="G31" s="9"/>
      <c r="H31" s="126">
        <f>K31</f>
        <v>80000</v>
      </c>
      <c r="I31" s="107"/>
      <c r="J31" s="322"/>
      <c r="K31" s="78">
        <v>80000</v>
      </c>
      <c r="L31" s="323"/>
      <c r="M31" s="323"/>
      <c r="N31" s="107" t="s">
        <v>76</v>
      </c>
      <c r="O31" s="7"/>
    </row>
    <row r="32" spans="1:15" ht="21" customHeight="1" hidden="1">
      <c r="A32" s="700"/>
      <c r="B32" s="62"/>
      <c r="C32" s="17" t="s">
        <v>50</v>
      </c>
      <c r="D32" s="393" t="s">
        <v>332</v>
      </c>
      <c r="E32" s="20"/>
      <c r="F32" s="695" t="s">
        <v>284</v>
      </c>
      <c r="G32" s="9"/>
      <c r="H32" s="25"/>
      <c r="I32" s="107" t="s">
        <v>76</v>
      </c>
      <c r="J32" s="108"/>
      <c r="K32" s="109"/>
      <c r="L32" s="108"/>
      <c r="M32" s="108"/>
      <c r="N32" s="107" t="s">
        <v>76</v>
      </c>
      <c r="O32" s="7"/>
    </row>
    <row r="33" spans="1:15" ht="12.75" customHeight="1" hidden="1">
      <c r="A33" s="700"/>
      <c r="B33" s="62"/>
      <c r="C33" s="17" t="s">
        <v>50</v>
      </c>
      <c r="D33" s="393" t="s">
        <v>214</v>
      </c>
      <c r="E33" s="9"/>
      <c r="F33" s="695"/>
      <c r="G33" s="9"/>
      <c r="H33" s="126">
        <f aca="true" t="shared" si="2" ref="H33:H49">K33</f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17" t="s">
        <v>50</v>
      </c>
      <c r="D34" s="393" t="s">
        <v>333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0"/>
      <c r="B35" s="62"/>
      <c r="C35" s="17" t="s">
        <v>50</v>
      </c>
      <c r="D35" s="393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 hidden="1">
      <c r="A36" s="701"/>
      <c r="B36" s="62"/>
      <c r="C36" s="17" t="s">
        <v>50</v>
      </c>
      <c r="D36" s="9" t="s">
        <v>216</v>
      </c>
      <c r="E36" s="9"/>
      <c r="F36" s="695"/>
      <c r="G36" s="9"/>
      <c r="H36" s="126">
        <f t="shared" si="2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customHeight="1">
      <c r="A37" s="741" t="s">
        <v>372</v>
      </c>
      <c r="B37" s="60"/>
      <c r="C37" s="693" t="s">
        <v>373</v>
      </c>
      <c r="D37" s="434" t="s">
        <v>332</v>
      </c>
      <c r="E37" s="9"/>
      <c r="F37" s="6" t="s">
        <v>284</v>
      </c>
      <c r="G37" s="9"/>
      <c r="H37" s="126">
        <f t="shared" si="2"/>
        <v>43200</v>
      </c>
      <c r="I37" s="107"/>
      <c r="J37" s="78"/>
      <c r="K37" s="78">
        <v>43200</v>
      </c>
      <c r="L37" s="26"/>
      <c r="M37" s="26"/>
      <c r="N37" s="107"/>
      <c r="O37" s="7"/>
    </row>
    <row r="38" spans="1:15" ht="12.75" customHeight="1">
      <c r="A38" s="742"/>
      <c r="B38" s="60"/>
      <c r="C38" s="697"/>
      <c r="D38" s="434" t="s">
        <v>214</v>
      </c>
      <c r="E38" s="9"/>
      <c r="F38" s="6" t="s">
        <v>284</v>
      </c>
      <c r="G38" s="9"/>
      <c r="H38" s="126">
        <f t="shared" si="2"/>
        <v>4800</v>
      </c>
      <c r="I38" s="107"/>
      <c r="J38" s="78"/>
      <c r="K38" s="78">
        <v>4800</v>
      </c>
      <c r="L38" s="26"/>
      <c r="M38" s="26"/>
      <c r="N38" s="107"/>
      <c r="O38" s="7"/>
    </row>
    <row r="39" spans="1:15" ht="12.75" customHeight="1">
      <c r="A39" s="742"/>
      <c r="B39" s="60"/>
      <c r="C39" s="697"/>
      <c r="D39" s="434" t="s">
        <v>333</v>
      </c>
      <c r="E39" s="9"/>
      <c r="F39" s="6" t="s">
        <v>284</v>
      </c>
      <c r="G39" s="9"/>
      <c r="H39" s="126">
        <f t="shared" si="2"/>
        <v>10800</v>
      </c>
      <c r="I39" s="107"/>
      <c r="J39" s="78"/>
      <c r="K39" s="78">
        <v>10800</v>
      </c>
      <c r="L39" s="26"/>
      <c r="M39" s="26"/>
      <c r="N39" s="107"/>
      <c r="O39" s="7"/>
    </row>
    <row r="40" spans="1:15" ht="12.75" customHeight="1">
      <c r="A40" s="743"/>
      <c r="B40" s="60"/>
      <c r="C40" s="694"/>
      <c r="D40" s="434" t="s">
        <v>216</v>
      </c>
      <c r="E40" s="9"/>
      <c r="F40" s="6" t="s">
        <v>284</v>
      </c>
      <c r="G40" s="9"/>
      <c r="H40" s="126">
        <f t="shared" si="2"/>
        <v>1200</v>
      </c>
      <c r="I40" s="107"/>
      <c r="J40" s="78"/>
      <c r="K40" s="78">
        <v>1200</v>
      </c>
      <c r="L40" s="26"/>
      <c r="M40" s="26"/>
      <c r="N40" s="107"/>
      <c r="O40" s="7"/>
    </row>
    <row r="41" spans="1:15" ht="12.75">
      <c r="A41" s="711" t="s">
        <v>155</v>
      </c>
      <c r="B41" s="62"/>
      <c r="C41" s="698" t="s">
        <v>51</v>
      </c>
      <c r="D41" s="6" t="s">
        <v>81</v>
      </c>
      <c r="E41" s="9"/>
      <c r="F41" s="693" t="s">
        <v>284</v>
      </c>
      <c r="G41" s="9"/>
      <c r="H41" s="126">
        <f t="shared" si="2"/>
        <v>201123.7</v>
      </c>
      <c r="I41" s="107" t="s">
        <v>76</v>
      </c>
      <c r="J41" s="78"/>
      <c r="K41" s="78">
        <f>195152.7+2985.5+2985.5</f>
        <v>201123.7</v>
      </c>
      <c r="L41" s="26"/>
      <c r="M41" s="26"/>
      <c r="N41" s="107" t="s">
        <v>76</v>
      </c>
      <c r="O41" s="7"/>
    </row>
    <row r="42" spans="1:21" ht="12.75">
      <c r="A42" s="711"/>
      <c r="B42" s="62"/>
      <c r="C42" s="698"/>
      <c r="D42" s="6" t="s">
        <v>166</v>
      </c>
      <c r="E42" s="9"/>
      <c r="F42" s="697"/>
      <c r="G42" s="9"/>
      <c r="H42" s="126">
        <f t="shared" si="2"/>
        <v>188911.8</v>
      </c>
      <c r="I42" s="107" t="s">
        <v>76</v>
      </c>
      <c r="J42" s="78"/>
      <c r="K42" s="78">
        <f>148024.8+20443.5+20443.5</f>
        <v>188911.8</v>
      </c>
      <c r="L42" s="26"/>
      <c r="M42" s="26"/>
      <c r="N42" s="107" t="s">
        <v>76</v>
      </c>
      <c r="O42" s="7"/>
      <c r="U42" s="392"/>
    </row>
    <row r="43" spans="1:15" ht="12.75">
      <c r="A43" s="711"/>
      <c r="B43" s="62"/>
      <c r="C43" s="698"/>
      <c r="D43" s="9" t="s">
        <v>196</v>
      </c>
      <c r="E43" s="9"/>
      <c r="F43" s="694"/>
      <c r="G43" s="9"/>
      <c r="H43" s="126">
        <f t="shared" si="2"/>
        <v>20990.2</v>
      </c>
      <c r="I43" s="107" t="s">
        <v>76</v>
      </c>
      <c r="J43" s="78"/>
      <c r="K43" s="78">
        <f>16447.2+2271.5+2271.5</f>
        <v>20990.2</v>
      </c>
      <c r="L43" s="26"/>
      <c r="M43" s="26"/>
      <c r="N43" s="107" t="s">
        <v>76</v>
      </c>
      <c r="O43" s="7"/>
    </row>
    <row r="44" spans="1:15" ht="63.75">
      <c r="A44" s="65" t="s">
        <v>43</v>
      </c>
      <c r="B44" s="66"/>
      <c r="C44" s="368" t="s">
        <v>42</v>
      </c>
      <c r="D44" s="6" t="s">
        <v>162</v>
      </c>
      <c r="E44" s="9"/>
      <c r="F44" s="6" t="s">
        <v>284</v>
      </c>
      <c r="G44" s="9"/>
      <c r="H44" s="126">
        <f t="shared" si="2"/>
        <v>950000</v>
      </c>
      <c r="I44" s="107" t="s">
        <v>76</v>
      </c>
      <c r="J44" s="78"/>
      <c r="K44" s="78">
        <v>950000</v>
      </c>
      <c r="L44" s="26"/>
      <c r="M44" s="26"/>
      <c r="N44" s="107" t="s">
        <v>76</v>
      </c>
      <c r="O44" s="7"/>
    </row>
    <row r="45" spans="1:21" ht="25.5">
      <c r="A45" s="65" t="s">
        <v>225</v>
      </c>
      <c r="B45" s="66"/>
      <c r="C45" s="59" t="s">
        <v>203</v>
      </c>
      <c r="D45" s="59" t="s">
        <v>81</v>
      </c>
      <c r="E45" s="59"/>
      <c r="F45" s="6" t="s">
        <v>284</v>
      </c>
      <c r="G45" s="9"/>
      <c r="H45" s="126">
        <f t="shared" si="2"/>
        <v>10000</v>
      </c>
      <c r="I45" s="107" t="s">
        <v>76</v>
      </c>
      <c r="J45" s="78"/>
      <c r="K45" s="78">
        <v>10000</v>
      </c>
      <c r="L45" s="26"/>
      <c r="M45" s="26"/>
      <c r="N45" s="107" t="s">
        <v>76</v>
      </c>
      <c r="O45" s="7"/>
      <c r="U45" s="469"/>
    </row>
    <row r="46" spans="1:15" ht="21" customHeight="1" hidden="1">
      <c r="A46" s="689" t="s">
        <v>199</v>
      </c>
      <c r="B46" s="66"/>
      <c r="C46" s="690" t="s">
        <v>192</v>
      </c>
      <c r="D46" s="59" t="s">
        <v>193</v>
      </c>
      <c r="E46" s="59"/>
      <c r="F46" s="693" t="s">
        <v>209</v>
      </c>
      <c r="G46" s="9"/>
      <c r="H46" s="126">
        <f t="shared" si="2"/>
        <v>0</v>
      </c>
      <c r="I46" s="107" t="s">
        <v>76</v>
      </c>
      <c r="J46" s="78"/>
      <c r="K46" s="78"/>
      <c r="L46" s="26"/>
      <c r="M46" s="26"/>
      <c r="N46" s="107" t="s">
        <v>76</v>
      </c>
      <c r="O46" s="7"/>
    </row>
    <row r="47" spans="1:15" ht="18" customHeight="1" hidden="1">
      <c r="A47" s="689"/>
      <c r="B47" s="66"/>
      <c r="C47" s="690"/>
      <c r="D47" s="59" t="s">
        <v>196</v>
      </c>
      <c r="E47" s="59"/>
      <c r="F47" s="694"/>
      <c r="G47" s="9"/>
      <c r="H47" s="126">
        <f t="shared" si="2"/>
        <v>0</v>
      </c>
      <c r="I47" s="107" t="s">
        <v>76</v>
      </c>
      <c r="J47" s="78"/>
      <c r="K47" s="78"/>
      <c r="L47" s="26"/>
      <c r="M47" s="26"/>
      <c r="N47" s="107" t="s">
        <v>76</v>
      </c>
      <c r="O47" s="7"/>
    </row>
    <row r="48" spans="1:15" ht="38.25">
      <c r="A48" s="22" t="s">
        <v>49</v>
      </c>
      <c r="B48" s="6"/>
      <c r="C48" s="6" t="s">
        <v>23</v>
      </c>
      <c r="D48" s="6" t="s">
        <v>228</v>
      </c>
      <c r="E48" s="6"/>
      <c r="F48" s="6" t="s">
        <v>209</v>
      </c>
      <c r="G48" s="6"/>
      <c r="H48" s="129">
        <f t="shared" si="2"/>
        <v>90100</v>
      </c>
      <c r="I48" s="26"/>
      <c r="J48" s="26"/>
      <c r="K48" s="78">
        <v>90100</v>
      </c>
      <c r="L48" s="26"/>
      <c r="M48" s="26"/>
      <c r="N48" s="26"/>
      <c r="O48" s="7"/>
    </row>
    <row r="49" spans="1:15" ht="22.5" customHeight="1" hidden="1">
      <c r="A49" s="8" t="s">
        <v>229</v>
      </c>
      <c r="B49" s="6"/>
      <c r="C49" s="22" t="s">
        <v>230</v>
      </c>
      <c r="D49" s="6" t="s">
        <v>81</v>
      </c>
      <c r="E49" s="9"/>
      <c r="F49" s="15" t="s">
        <v>209</v>
      </c>
      <c r="G49" s="9"/>
      <c r="H49" s="126">
        <f t="shared" si="2"/>
        <v>0</v>
      </c>
      <c r="I49" s="107"/>
      <c r="J49" s="78"/>
      <c r="K49" s="26"/>
      <c r="L49" s="26"/>
      <c r="M49" s="26"/>
      <c r="N49" s="26"/>
      <c r="O49" s="7"/>
    </row>
    <row r="50" spans="1:21" s="25" customFormat="1" ht="17.25" customHeight="1">
      <c r="A50" s="23" t="s">
        <v>94</v>
      </c>
      <c r="B50" s="24" t="s">
        <v>95</v>
      </c>
      <c r="C50" s="56" t="s">
        <v>76</v>
      </c>
      <c r="D50" s="56" t="s">
        <v>76</v>
      </c>
      <c r="E50" s="56" t="s">
        <v>76</v>
      </c>
      <c r="F50" s="56" t="s">
        <v>76</v>
      </c>
      <c r="G50" s="56" t="s">
        <v>76</v>
      </c>
      <c r="H50" s="130">
        <f>I50+N50+K50</f>
        <v>24291585.819999997</v>
      </c>
      <c r="I50" s="130">
        <f>I56+I84+I102</f>
        <v>21856042.999999996</v>
      </c>
      <c r="J50" s="130"/>
      <c r="K50" s="130">
        <f>K102+K106+K108+K121+K132+K135+K137+K115+K140+K142+K144+K110</f>
        <v>2333538.7</v>
      </c>
      <c r="L50" s="130"/>
      <c r="M50" s="130"/>
      <c r="N50" s="130">
        <f>N146</f>
        <v>102004.12000000001</v>
      </c>
      <c r="O50" s="95"/>
      <c r="U50" s="380"/>
    </row>
    <row r="51" spans="1:15" s="25" customFormat="1" ht="18" customHeight="1">
      <c r="A51" s="8" t="s">
        <v>96</v>
      </c>
      <c r="B51" s="9" t="s">
        <v>97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>
        <f>I51+N51</f>
        <v>16734330</v>
      </c>
      <c r="I51" s="78">
        <f>I52+I54</f>
        <v>16734330</v>
      </c>
      <c r="J51" s="78"/>
      <c r="K51" s="78"/>
      <c r="L51" s="78"/>
      <c r="M51" s="78"/>
      <c r="N51" s="78"/>
      <c r="O51" s="7" t="s">
        <v>76</v>
      </c>
    </row>
    <row r="52" spans="1:15" s="25" customFormat="1" ht="25.5">
      <c r="A52" s="22" t="s">
        <v>98</v>
      </c>
      <c r="B52" s="9" t="s">
        <v>99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16734330</v>
      </c>
      <c r="I52" s="78">
        <f>I57+I59+I61+I62</f>
        <v>16734330</v>
      </c>
      <c r="J52" s="78"/>
      <c r="K52" s="78"/>
      <c r="L52" s="78"/>
      <c r="M52" s="78"/>
      <c r="N52" s="78"/>
      <c r="O52" s="7" t="s">
        <v>76</v>
      </c>
    </row>
    <row r="53" spans="1:15" s="25" customFormat="1" ht="9.75" customHeight="1" hidden="1">
      <c r="A53" s="8" t="s">
        <v>100</v>
      </c>
      <c r="B53" s="9" t="s">
        <v>101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/>
      <c r="I53" s="78"/>
      <c r="J53" s="78"/>
      <c r="K53" s="78"/>
      <c r="L53" s="78"/>
      <c r="M53" s="78"/>
      <c r="N53" s="78"/>
      <c r="O53" s="7" t="s">
        <v>76</v>
      </c>
    </row>
    <row r="54" spans="1:15" s="25" customFormat="1" ht="25.5" hidden="1">
      <c r="A54" s="8" t="s">
        <v>102</v>
      </c>
      <c r="B54" s="9" t="s">
        <v>103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>
        <f>I54+N54</f>
        <v>0</v>
      </c>
      <c r="I54" s="78"/>
      <c r="J54" s="78"/>
      <c r="K54" s="78"/>
      <c r="L54" s="78"/>
      <c r="M54" s="78"/>
      <c r="N54" s="78"/>
      <c r="O54" s="7" t="s">
        <v>76</v>
      </c>
    </row>
    <row r="55" spans="1:15" s="25" customFormat="1" ht="13.5" customHeight="1" hidden="1">
      <c r="A55" s="8" t="s">
        <v>104</v>
      </c>
      <c r="B55" s="9" t="s">
        <v>105</v>
      </c>
      <c r="C55" s="26" t="s">
        <v>76</v>
      </c>
      <c r="D55" s="26" t="s">
        <v>76</v>
      </c>
      <c r="E55" s="26" t="s">
        <v>76</v>
      </c>
      <c r="F55" s="26" t="s">
        <v>76</v>
      </c>
      <c r="G55" s="26" t="s">
        <v>76</v>
      </c>
      <c r="H55" s="126">
        <v>0</v>
      </c>
      <c r="I55" s="78">
        <v>0</v>
      </c>
      <c r="J55" s="78"/>
      <c r="K55" s="78"/>
      <c r="L55" s="78"/>
      <c r="M55" s="78"/>
      <c r="N55" s="78"/>
      <c r="O55" s="21"/>
    </row>
    <row r="56" spans="1:15" s="25" customFormat="1" ht="29.25" customHeight="1">
      <c r="A56" s="681" t="s">
        <v>428</v>
      </c>
      <c r="B56" s="683"/>
      <c r="C56" s="27" t="s">
        <v>18</v>
      </c>
      <c r="D56" s="3"/>
      <c r="E56" s="27"/>
      <c r="F56" s="3"/>
      <c r="G56" s="3"/>
      <c r="H56" s="124">
        <f>SUM(H57:H83)</f>
        <v>17907003.999999996</v>
      </c>
      <c r="I56" s="97">
        <f>SUM(I57:I83)</f>
        <v>17907003.999999996</v>
      </c>
      <c r="J56" s="110"/>
      <c r="K56" s="111" t="s">
        <v>107</v>
      </c>
      <c r="L56" s="111"/>
      <c r="M56" s="111"/>
      <c r="N56" s="111" t="s">
        <v>107</v>
      </c>
      <c r="O56" s="28"/>
    </row>
    <row r="57" spans="1:15" s="25" customFormat="1" ht="16.5" customHeight="1">
      <c r="A57" s="22" t="s">
        <v>4</v>
      </c>
      <c r="B57" s="9"/>
      <c r="C57" s="6" t="s">
        <v>18</v>
      </c>
      <c r="D57" s="14">
        <v>14130030000000000</v>
      </c>
      <c r="E57" s="6" t="s">
        <v>108</v>
      </c>
      <c r="F57" s="6" t="s">
        <v>99</v>
      </c>
      <c r="G57" s="6" t="s">
        <v>109</v>
      </c>
      <c r="H57" s="126">
        <f aca="true" t="shared" si="3" ref="H57:H98">I57</f>
        <v>12840000</v>
      </c>
      <c r="I57" s="112">
        <f>12739000-10404-14200+125604</f>
        <v>12840000</v>
      </c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6.5" customHeight="1">
      <c r="A58" s="22" t="s">
        <v>5</v>
      </c>
      <c r="B58" s="9"/>
      <c r="C58" s="565" t="s">
        <v>18</v>
      </c>
      <c r="D58" s="564" t="s">
        <v>81</v>
      </c>
      <c r="E58" s="565" t="s">
        <v>108</v>
      </c>
      <c r="F58" s="566" t="s">
        <v>110</v>
      </c>
      <c r="G58" s="566" t="s">
        <v>111</v>
      </c>
      <c r="H58" s="561">
        <f t="shared" si="3"/>
        <v>1100</v>
      </c>
      <c r="I58" s="563">
        <f>400+700</f>
        <v>1100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/>
    </row>
    <row r="59" spans="1:15" s="25" customFormat="1" ht="15.75" customHeight="1">
      <c r="A59" s="22" t="s">
        <v>5</v>
      </c>
      <c r="B59" s="9"/>
      <c r="C59" s="778" t="s">
        <v>18</v>
      </c>
      <c r="D59" s="564" t="s">
        <v>81</v>
      </c>
      <c r="E59" s="565" t="s">
        <v>108</v>
      </c>
      <c r="F59" s="778" t="s">
        <v>116</v>
      </c>
      <c r="G59" s="778" t="s">
        <v>111</v>
      </c>
      <c r="H59" s="561">
        <f t="shared" si="3"/>
        <v>17330</v>
      </c>
      <c r="I59" s="418">
        <f>2270+7860+7200</f>
        <v>17330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/>
    </row>
    <row r="60" spans="1:15" s="25" customFormat="1" ht="12.75">
      <c r="A60" s="22" t="s">
        <v>5</v>
      </c>
      <c r="B60" s="9"/>
      <c r="C60" s="779"/>
      <c r="D60" s="14">
        <v>14130030000000000</v>
      </c>
      <c r="E60" s="9" t="s">
        <v>157</v>
      </c>
      <c r="F60" s="780"/>
      <c r="G60" s="780"/>
      <c r="H60" s="126">
        <f t="shared" si="3"/>
        <v>2400</v>
      </c>
      <c r="I60" s="78">
        <v>2400</v>
      </c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 t="s">
        <v>76</v>
      </c>
    </row>
    <row r="61" spans="1:15" s="25" customFormat="1" ht="12.75">
      <c r="A61" s="81" t="s">
        <v>6</v>
      </c>
      <c r="B61" s="9"/>
      <c r="C61" s="6" t="s">
        <v>18</v>
      </c>
      <c r="D61" s="14">
        <v>14130030000000000</v>
      </c>
      <c r="E61" s="6" t="s">
        <v>108</v>
      </c>
      <c r="F61" s="6" t="s">
        <v>112</v>
      </c>
      <c r="G61" s="6" t="s">
        <v>113</v>
      </c>
      <c r="H61" s="126">
        <f t="shared" si="3"/>
        <v>3877000</v>
      </c>
      <c r="I61" s="78">
        <f>3855000+22000</f>
        <v>3877000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 hidden="1">
      <c r="A62" s="86"/>
      <c r="B62" s="12"/>
      <c r="C62" s="60"/>
      <c r="D62" s="30">
        <v>14130030000000000</v>
      </c>
      <c r="E62" s="29"/>
      <c r="F62" s="31"/>
      <c r="G62" s="31"/>
      <c r="H62" s="126">
        <f t="shared" si="3"/>
        <v>0</v>
      </c>
      <c r="I62" s="78"/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/>
    </row>
    <row r="63" spans="1:15" s="25" customFormat="1" ht="13.5" customHeight="1">
      <c r="A63" s="691" t="s">
        <v>7</v>
      </c>
      <c r="B63" s="9"/>
      <c r="C63" s="693" t="s">
        <v>18</v>
      </c>
      <c r="D63" s="9" t="s">
        <v>81</v>
      </c>
      <c r="E63" s="9" t="s">
        <v>108</v>
      </c>
      <c r="F63" s="693" t="s">
        <v>114</v>
      </c>
      <c r="G63" s="9" t="s">
        <v>115</v>
      </c>
      <c r="H63" s="126">
        <f t="shared" si="3"/>
        <v>32600</v>
      </c>
      <c r="I63" s="113">
        <v>32600</v>
      </c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 t="s">
        <v>115</v>
      </c>
      <c r="H64" s="126">
        <f t="shared" si="3"/>
        <v>0</v>
      </c>
      <c r="I64" s="78"/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/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 hidden="1">
      <c r="A66" s="696"/>
      <c r="B66" s="9"/>
      <c r="C66" s="697"/>
      <c r="D66" s="15"/>
      <c r="E66" s="9"/>
      <c r="F66" s="697"/>
      <c r="G66" s="9"/>
      <c r="H66" s="126">
        <f t="shared" si="3"/>
        <v>0</v>
      </c>
      <c r="I66" s="78"/>
      <c r="J66" s="78"/>
      <c r="K66" s="107" t="s">
        <v>76</v>
      </c>
      <c r="L66" s="107" t="s">
        <v>76</v>
      </c>
      <c r="M66" s="107" t="s">
        <v>76</v>
      </c>
      <c r="N66" s="107" t="s">
        <v>76</v>
      </c>
      <c r="O66" s="6" t="s">
        <v>76</v>
      </c>
    </row>
    <row r="67" spans="1:15" s="25" customFormat="1" ht="12.75" customHeight="1" hidden="1">
      <c r="A67" s="696"/>
      <c r="B67" s="9"/>
      <c r="C67" s="697"/>
      <c r="D67" s="15"/>
      <c r="E67" s="9"/>
      <c r="F67" s="697"/>
      <c r="G67" s="9"/>
      <c r="H67" s="126">
        <f t="shared" si="3"/>
        <v>0</v>
      </c>
      <c r="I67" s="78"/>
      <c r="J67" s="78"/>
      <c r="K67" s="107" t="s">
        <v>76</v>
      </c>
      <c r="L67" s="107" t="s">
        <v>76</v>
      </c>
      <c r="M67" s="107" t="s">
        <v>76</v>
      </c>
      <c r="N67" s="107" t="s">
        <v>76</v>
      </c>
      <c r="O67" s="6" t="s">
        <v>76</v>
      </c>
    </row>
    <row r="68" spans="1:15" s="25" customFormat="1" ht="12.75" customHeight="1">
      <c r="A68" s="692"/>
      <c r="B68" s="9"/>
      <c r="C68" s="694"/>
      <c r="D68" s="14">
        <v>14130030000000000</v>
      </c>
      <c r="E68" s="9" t="s">
        <v>108</v>
      </c>
      <c r="F68" s="694"/>
      <c r="G68" s="9" t="s">
        <v>115</v>
      </c>
      <c r="H68" s="126">
        <f t="shared" si="3"/>
        <v>50155</v>
      </c>
      <c r="I68" s="106">
        <f>30000+20155</f>
        <v>50155</v>
      </c>
      <c r="J68" s="78"/>
      <c r="K68" s="107" t="s">
        <v>76</v>
      </c>
      <c r="L68" s="107"/>
      <c r="M68" s="107"/>
      <c r="N68" s="107" t="s">
        <v>76</v>
      </c>
      <c r="O68" s="6"/>
    </row>
    <row r="69" spans="1:15" s="25" customFormat="1" ht="12.75" customHeight="1">
      <c r="A69" s="16" t="s">
        <v>8</v>
      </c>
      <c r="B69" s="9"/>
      <c r="C69" s="565" t="s">
        <v>18</v>
      </c>
      <c r="D69" s="564" t="s">
        <v>81</v>
      </c>
      <c r="E69" s="567" t="s">
        <v>108</v>
      </c>
      <c r="F69" s="568" t="s">
        <v>128</v>
      </c>
      <c r="G69" s="567" t="s">
        <v>115</v>
      </c>
      <c r="H69" s="561">
        <f t="shared" si="3"/>
        <v>94600</v>
      </c>
      <c r="I69" s="562">
        <f>102000-7400</f>
        <v>94600</v>
      </c>
      <c r="J69" s="78"/>
      <c r="K69" s="107" t="s">
        <v>76</v>
      </c>
      <c r="L69" s="107"/>
      <c r="M69" s="107"/>
      <c r="N69" s="107" t="s">
        <v>76</v>
      </c>
      <c r="O69" s="6"/>
    </row>
    <row r="70" spans="1:15" s="25" customFormat="1" ht="12.75">
      <c r="A70" s="691" t="s">
        <v>12</v>
      </c>
      <c r="B70" s="9"/>
      <c r="C70" s="778" t="s">
        <v>18</v>
      </c>
      <c r="D70" s="564" t="s">
        <v>81</v>
      </c>
      <c r="E70" s="778" t="s">
        <v>108</v>
      </c>
      <c r="F70" s="778" t="s">
        <v>116</v>
      </c>
      <c r="G70" s="778" t="s">
        <v>115</v>
      </c>
      <c r="H70" s="561">
        <f t="shared" si="3"/>
        <v>184218.4</v>
      </c>
      <c r="I70" s="562">
        <f>216300+56000-21600-2270-11732.2-52479.4</f>
        <v>184218.4</v>
      </c>
      <c r="J70" s="78"/>
      <c r="K70" s="107" t="s">
        <v>76</v>
      </c>
      <c r="L70" s="107" t="s">
        <v>76</v>
      </c>
      <c r="M70" s="107" t="s">
        <v>76</v>
      </c>
      <c r="N70" s="107" t="s">
        <v>76</v>
      </c>
      <c r="O70" s="6" t="s">
        <v>76</v>
      </c>
    </row>
    <row r="71" spans="1:15" s="25" customFormat="1" ht="12.75">
      <c r="A71" s="692"/>
      <c r="B71" s="9"/>
      <c r="C71" s="779"/>
      <c r="D71" s="14">
        <v>14130030000000000</v>
      </c>
      <c r="E71" s="779"/>
      <c r="F71" s="779"/>
      <c r="G71" s="779"/>
      <c r="H71" s="126">
        <f t="shared" si="3"/>
        <v>0</v>
      </c>
      <c r="I71" s="79"/>
      <c r="J71" s="78"/>
      <c r="K71" s="107" t="s">
        <v>76</v>
      </c>
      <c r="L71" s="107" t="s">
        <v>76</v>
      </c>
      <c r="M71" s="107" t="s">
        <v>76</v>
      </c>
      <c r="N71" s="107" t="s">
        <v>76</v>
      </c>
      <c r="O71" s="6"/>
    </row>
    <row r="72" spans="1:15" s="25" customFormat="1" ht="12.75">
      <c r="A72" s="22" t="s">
        <v>13</v>
      </c>
      <c r="B72" s="9"/>
      <c r="C72" s="9"/>
      <c r="D72" s="15"/>
      <c r="E72" s="9"/>
      <c r="F72" s="9" t="s">
        <v>117</v>
      </c>
      <c r="G72" s="9" t="s">
        <v>115</v>
      </c>
      <c r="H72" s="126">
        <f t="shared" si="3"/>
        <v>0</v>
      </c>
      <c r="I72" s="78"/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 t="s">
        <v>76</v>
      </c>
    </row>
    <row r="73" spans="1:15" s="25" customFormat="1" ht="12.75">
      <c r="A73" s="22" t="s">
        <v>427</v>
      </c>
      <c r="B73" s="9"/>
      <c r="C73" s="6" t="s">
        <v>18</v>
      </c>
      <c r="D73" s="9" t="s">
        <v>81</v>
      </c>
      <c r="E73" s="471" t="s">
        <v>232</v>
      </c>
      <c r="F73" s="9" t="s">
        <v>116</v>
      </c>
      <c r="G73" s="10" t="s">
        <v>115</v>
      </c>
      <c r="H73" s="126">
        <f t="shared" si="3"/>
        <v>21600</v>
      </c>
      <c r="I73" s="78">
        <v>21600</v>
      </c>
      <c r="J73" s="78"/>
      <c r="K73" s="107"/>
      <c r="L73" s="107"/>
      <c r="M73" s="107"/>
      <c r="N73" s="107"/>
      <c r="O73" s="6"/>
    </row>
    <row r="74" spans="1:15" s="25" customFormat="1" ht="25.5">
      <c r="A74" s="22" t="s">
        <v>245</v>
      </c>
      <c r="B74" s="9"/>
      <c r="C74" s="9" t="s">
        <v>18</v>
      </c>
      <c r="D74" s="14">
        <v>14130010000000000</v>
      </c>
      <c r="E74" s="9" t="s">
        <v>108</v>
      </c>
      <c r="F74" s="9" t="s">
        <v>246</v>
      </c>
      <c r="G74" s="10" t="s">
        <v>109</v>
      </c>
      <c r="H74" s="126">
        <f t="shared" si="3"/>
        <v>50104</v>
      </c>
      <c r="I74" s="78">
        <f>25500+10404+14200</f>
        <v>50104</v>
      </c>
      <c r="J74" s="78"/>
      <c r="K74" s="107" t="s">
        <v>76</v>
      </c>
      <c r="L74" s="107" t="s">
        <v>76</v>
      </c>
      <c r="M74" s="107" t="s">
        <v>76</v>
      </c>
      <c r="N74" s="107" t="s">
        <v>76</v>
      </c>
      <c r="O74" s="6"/>
    </row>
    <row r="75" spans="1:15" s="25" customFormat="1" ht="12.75">
      <c r="A75" s="22" t="s">
        <v>14</v>
      </c>
      <c r="B75" s="9"/>
      <c r="C75" s="564" t="s">
        <v>18</v>
      </c>
      <c r="D75" s="564" t="s">
        <v>81</v>
      </c>
      <c r="E75" s="564" t="s">
        <v>108</v>
      </c>
      <c r="F75" s="564" t="s">
        <v>118</v>
      </c>
      <c r="G75" s="564" t="s">
        <v>115</v>
      </c>
      <c r="H75" s="561">
        <f t="shared" si="3"/>
        <v>51979.4</v>
      </c>
      <c r="I75" s="418">
        <f>51979.4</f>
        <v>51979.4</v>
      </c>
      <c r="J75" s="78"/>
      <c r="K75" s="107"/>
      <c r="L75" s="107"/>
      <c r="M75" s="107"/>
      <c r="N75" s="107"/>
      <c r="O75" s="6"/>
    </row>
    <row r="76" spans="1:15" s="25" customFormat="1" ht="12.75">
      <c r="A76" s="22" t="s">
        <v>14</v>
      </c>
      <c r="B76" s="9"/>
      <c r="C76" s="9" t="s">
        <v>18</v>
      </c>
      <c r="D76" s="14">
        <v>14130030000000000</v>
      </c>
      <c r="E76" s="695" t="s">
        <v>108</v>
      </c>
      <c r="F76" s="9" t="s">
        <v>118</v>
      </c>
      <c r="G76" s="9" t="s">
        <v>115</v>
      </c>
      <c r="H76" s="126">
        <f t="shared" si="3"/>
        <v>639045</v>
      </c>
      <c r="I76" s="79">
        <f>641445-2400</f>
        <v>639045</v>
      </c>
      <c r="J76" s="78"/>
      <c r="K76" s="107" t="s">
        <v>76</v>
      </c>
      <c r="L76" s="107" t="s">
        <v>76</v>
      </c>
      <c r="M76" s="107" t="s">
        <v>76</v>
      </c>
      <c r="N76" s="107" t="s">
        <v>76</v>
      </c>
      <c r="O76" s="6" t="s">
        <v>76</v>
      </c>
    </row>
    <row r="77" spans="1:15" s="25" customFormat="1" ht="51" hidden="1">
      <c r="A77" s="82" t="s">
        <v>237</v>
      </c>
      <c r="B77" s="9"/>
      <c r="C77" s="83" t="s">
        <v>18</v>
      </c>
      <c r="D77" s="9" t="s">
        <v>81</v>
      </c>
      <c r="E77" s="695"/>
      <c r="F77" s="84" t="s">
        <v>238</v>
      </c>
      <c r="G77" s="84" t="s">
        <v>115</v>
      </c>
      <c r="H77" s="126">
        <f t="shared" si="3"/>
        <v>0</v>
      </c>
      <c r="I77" s="113"/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/>
    </row>
    <row r="78" spans="1:15" s="25" customFormat="1" ht="38.25">
      <c r="A78" s="82" t="s">
        <v>239</v>
      </c>
      <c r="B78" s="9"/>
      <c r="C78" s="83" t="s">
        <v>18</v>
      </c>
      <c r="D78" s="9" t="s">
        <v>81</v>
      </c>
      <c r="E78" s="83" t="s">
        <v>108</v>
      </c>
      <c r="F78" s="84" t="s">
        <v>240</v>
      </c>
      <c r="G78" s="84" t="s">
        <v>115</v>
      </c>
      <c r="H78" s="126">
        <f t="shared" si="3"/>
        <v>1400</v>
      </c>
      <c r="I78" s="106">
        <v>1400</v>
      </c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/>
    </row>
    <row r="79" spans="1:15" s="25" customFormat="1" ht="25.5">
      <c r="A79" s="22" t="s">
        <v>241</v>
      </c>
      <c r="B79" s="9"/>
      <c r="C79" s="9" t="s">
        <v>18</v>
      </c>
      <c r="D79" s="9" t="s">
        <v>81</v>
      </c>
      <c r="E79" s="10" t="s">
        <v>108</v>
      </c>
      <c r="F79" s="9" t="s">
        <v>242</v>
      </c>
      <c r="G79" s="9" t="s">
        <v>115</v>
      </c>
      <c r="H79" s="126">
        <f>I79</f>
        <v>3472.2</v>
      </c>
      <c r="I79" s="376">
        <v>3472.2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/>
    </row>
    <row r="80" spans="1:15" s="25" customFormat="1" ht="25.5">
      <c r="A80" s="22" t="s">
        <v>241</v>
      </c>
      <c r="B80" s="9"/>
      <c r="C80" s="9" t="s">
        <v>18</v>
      </c>
      <c r="D80" s="14">
        <v>14130030000000000</v>
      </c>
      <c r="E80" s="10" t="s">
        <v>108</v>
      </c>
      <c r="F80" s="9" t="s">
        <v>242</v>
      </c>
      <c r="G80" s="9" t="s">
        <v>115</v>
      </c>
      <c r="H80" s="126">
        <f t="shared" si="3"/>
        <v>40000</v>
      </c>
      <c r="I80" s="376">
        <f>20000+20000</f>
        <v>40000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/>
    </row>
    <row r="81" spans="1:15" s="25" customFormat="1" ht="25.5">
      <c r="A81" s="394" t="s">
        <v>243</v>
      </c>
      <c r="B81" s="6"/>
      <c r="C81" s="6" t="s">
        <v>18</v>
      </c>
      <c r="D81" s="395">
        <v>14130030000000000</v>
      </c>
      <c r="E81" s="6" t="s">
        <v>108</v>
      </c>
      <c r="F81" s="6" t="s">
        <v>244</v>
      </c>
      <c r="G81" s="6" t="s">
        <v>115</v>
      </c>
      <c r="H81" s="126">
        <f t="shared" si="3"/>
        <v>0</v>
      </c>
      <c r="I81" s="376">
        <f>20000-20000</f>
        <v>0</v>
      </c>
      <c r="J81" s="107"/>
      <c r="K81" s="107" t="s">
        <v>76</v>
      </c>
      <c r="L81" s="107" t="s">
        <v>76</v>
      </c>
      <c r="M81" s="107" t="s">
        <v>76</v>
      </c>
      <c r="N81" s="107" t="s">
        <v>76</v>
      </c>
      <c r="O81" s="6"/>
    </row>
    <row r="82" spans="1:15" s="25" customFormat="1" ht="12.75" hidden="1">
      <c r="A82" s="691" t="s">
        <v>188</v>
      </c>
      <c r="B82" s="9"/>
      <c r="C82" s="693" t="s">
        <v>18</v>
      </c>
      <c r="D82" s="9" t="s">
        <v>81</v>
      </c>
      <c r="E82" s="693" t="s">
        <v>108</v>
      </c>
      <c r="F82" s="693" t="s">
        <v>119</v>
      </c>
      <c r="G82" s="693" t="s">
        <v>115</v>
      </c>
      <c r="H82" s="126">
        <f t="shared" si="3"/>
        <v>0</v>
      </c>
      <c r="I82" s="78"/>
      <c r="J82" s="100"/>
      <c r="K82" s="101" t="s">
        <v>76</v>
      </c>
      <c r="L82" s="101" t="s">
        <v>76</v>
      </c>
      <c r="M82" s="101" t="s">
        <v>76</v>
      </c>
      <c r="N82" s="101" t="s">
        <v>76</v>
      </c>
      <c r="O82" s="6"/>
    </row>
    <row r="83" spans="1:15" s="25" customFormat="1" ht="12.75" hidden="1">
      <c r="A83" s="692"/>
      <c r="B83" s="9"/>
      <c r="C83" s="694"/>
      <c r="D83" s="14">
        <v>14130030000000000</v>
      </c>
      <c r="E83" s="694"/>
      <c r="F83" s="694"/>
      <c r="G83" s="694"/>
      <c r="H83" s="126">
        <f t="shared" si="3"/>
        <v>0</v>
      </c>
      <c r="I83" s="79"/>
      <c r="J83" s="100"/>
      <c r="K83" s="101" t="s">
        <v>76</v>
      </c>
      <c r="L83" s="101" t="s">
        <v>76</v>
      </c>
      <c r="M83" s="101" t="s">
        <v>76</v>
      </c>
      <c r="N83" s="101" t="s">
        <v>76</v>
      </c>
      <c r="O83" s="6" t="s">
        <v>76</v>
      </c>
    </row>
    <row r="84" spans="1:15" s="25" customFormat="1" ht="27.75" customHeight="1">
      <c r="A84" s="681" t="s">
        <v>189</v>
      </c>
      <c r="B84" s="683"/>
      <c r="C84" s="27" t="s">
        <v>20</v>
      </c>
      <c r="D84" s="3"/>
      <c r="E84" s="27"/>
      <c r="F84" s="3"/>
      <c r="G84" s="3"/>
      <c r="H84" s="124">
        <f t="shared" si="3"/>
        <v>3949039</v>
      </c>
      <c r="I84" s="97">
        <f>SUM(I85:I101)</f>
        <v>3949039</v>
      </c>
      <c r="J84" s="110"/>
      <c r="K84" s="111" t="s">
        <v>107</v>
      </c>
      <c r="L84" s="111"/>
      <c r="M84" s="111"/>
      <c r="N84" s="111" t="s">
        <v>107</v>
      </c>
      <c r="O84" s="28"/>
    </row>
    <row r="85" spans="1:15" s="25" customFormat="1" ht="15" customHeight="1">
      <c r="A85" s="22" t="s">
        <v>9</v>
      </c>
      <c r="B85" s="9"/>
      <c r="C85" s="9" t="s">
        <v>20</v>
      </c>
      <c r="D85" s="9" t="s">
        <v>81</v>
      </c>
      <c r="E85" s="9" t="s">
        <v>108</v>
      </c>
      <c r="F85" s="9" t="s">
        <v>120</v>
      </c>
      <c r="G85" s="9" t="s">
        <v>115</v>
      </c>
      <c r="H85" s="126">
        <f t="shared" si="3"/>
        <v>934139</v>
      </c>
      <c r="I85" s="78">
        <f>1083500-149361</f>
        <v>934139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5" customHeight="1">
      <c r="A86" s="82" t="s">
        <v>8</v>
      </c>
      <c r="B86" s="9"/>
      <c r="C86" s="9" t="s">
        <v>20</v>
      </c>
      <c r="D86" s="9" t="s">
        <v>81</v>
      </c>
      <c r="E86" s="10" t="s">
        <v>108</v>
      </c>
      <c r="F86" s="10" t="s">
        <v>128</v>
      </c>
      <c r="G86" s="10" t="s">
        <v>115</v>
      </c>
      <c r="H86" s="126">
        <f t="shared" si="3"/>
        <v>17547.48</v>
      </c>
      <c r="I86" s="78">
        <v>17547.48</v>
      </c>
      <c r="J86" s="78"/>
      <c r="K86" s="107"/>
      <c r="L86" s="107"/>
      <c r="M86" s="107"/>
      <c r="N86" s="107"/>
      <c r="O86" s="6"/>
    </row>
    <row r="87" spans="1:15" s="25" customFormat="1" ht="15" customHeight="1">
      <c r="A87" s="691" t="s">
        <v>11</v>
      </c>
      <c r="B87" s="9"/>
      <c r="C87" s="693" t="s">
        <v>20</v>
      </c>
      <c r="D87" s="9" t="s">
        <v>81</v>
      </c>
      <c r="E87" s="693" t="s">
        <v>108</v>
      </c>
      <c r="F87" s="693" t="s">
        <v>121</v>
      </c>
      <c r="G87" s="693" t="s">
        <v>115</v>
      </c>
      <c r="H87" s="126">
        <f t="shared" si="3"/>
        <v>231900</v>
      </c>
      <c r="I87" s="112">
        <f>246900-15000</f>
        <v>231900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12.75">
      <c r="A88" s="692"/>
      <c r="B88" s="9"/>
      <c r="C88" s="694"/>
      <c r="D88" s="14">
        <v>14130030000000000</v>
      </c>
      <c r="E88" s="694"/>
      <c r="F88" s="694"/>
      <c r="G88" s="694"/>
      <c r="H88" s="126">
        <f t="shared" si="3"/>
        <v>2020000</v>
      </c>
      <c r="I88" s="112">
        <v>2020000</v>
      </c>
      <c r="J88" s="362"/>
      <c r="K88" s="107" t="s">
        <v>76</v>
      </c>
      <c r="L88" s="107"/>
      <c r="M88" s="107"/>
      <c r="N88" s="107" t="s">
        <v>76</v>
      </c>
      <c r="O88" s="6"/>
    </row>
    <row r="89" spans="1:15" s="25" customFormat="1" ht="12.75">
      <c r="A89" s="691" t="s">
        <v>12</v>
      </c>
      <c r="B89" s="9"/>
      <c r="C89" s="693" t="s">
        <v>20</v>
      </c>
      <c r="D89" s="9" t="s">
        <v>81</v>
      </c>
      <c r="E89" s="693" t="s">
        <v>108</v>
      </c>
      <c r="F89" s="693" t="s">
        <v>116</v>
      </c>
      <c r="G89" s="693" t="s">
        <v>115</v>
      </c>
      <c r="H89" s="126">
        <f t="shared" si="3"/>
        <v>82352.52</v>
      </c>
      <c r="I89" s="78">
        <f>99900-17547.48</f>
        <v>82352.52</v>
      </c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 t="s">
        <v>76</v>
      </c>
    </row>
    <row r="90" spans="1:15" s="25" customFormat="1" ht="12.75">
      <c r="A90" s="692"/>
      <c r="B90" s="9"/>
      <c r="C90" s="694"/>
      <c r="D90" s="14">
        <v>14130030000000000</v>
      </c>
      <c r="E90" s="694"/>
      <c r="F90" s="694"/>
      <c r="G90" s="694"/>
      <c r="H90" s="126">
        <f t="shared" si="3"/>
        <v>534800</v>
      </c>
      <c r="I90" s="115">
        <v>534800</v>
      </c>
      <c r="J90" s="78"/>
      <c r="K90" s="107" t="s">
        <v>76</v>
      </c>
      <c r="L90" s="107"/>
      <c r="M90" s="107"/>
      <c r="N90" s="107" t="s">
        <v>76</v>
      </c>
      <c r="O90" s="6"/>
    </row>
    <row r="91" spans="1:15" s="25" customFormat="1" ht="12.75">
      <c r="A91" s="22" t="s">
        <v>249</v>
      </c>
      <c r="B91" s="9"/>
      <c r="C91" s="9" t="s">
        <v>20</v>
      </c>
      <c r="D91" s="9" t="s">
        <v>81</v>
      </c>
      <c r="E91" s="9" t="s">
        <v>108</v>
      </c>
      <c r="F91" s="9" t="s">
        <v>206</v>
      </c>
      <c r="G91" s="9" t="s">
        <v>122</v>
      </c>
      <c r="H91" s="126">
        <f t="shared" si="3"/>
        <v>60200</v>
      </c>
      <c r="I91" s="78">
        <f>55400+4800</f>
        <v>60200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2.75">
      <c r="A92" s="22" t="s">
        <v>249</v>
      </c>
      <c r="B92" s="9"/>
      <c r="C92" s="9" t="s">
        <v>20</v>
      </c>
      <c r="D92" s="9" t="s">
        <v>81</v>
      </c>
      <c r="E92" s="9" t="s">
        <v>108</v>
      </c>
      <c r="F92" s="9" t="s">
        <v>206</v>
      </c>
      <c r="G92" s="9" t="s">
        <v>250</v>
      </c>
      <c r="H92" s="126">
        <f t="shared" si="3"/>
        <v>0</v>
      </c>
      <c r="I92" s="79">
        <f>4800-4800</f>
        <v>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2.75" hidden="1">
      <c r="A93" s="22" t="s">
        <v>14</v>
      </c>
      <c r="B93" s="9"/>
      <c r="C93" s="9" t="s">
        <v>20</v>
      </c>
      <c r="D93" s="9" t="s">
        <v>81</v>
      </c>
      <c r="E93" s="9" t="s">
        <v>124</v>
      </c>
      <c r="F93" s="9" t="s">
        <v>118</v>
      </c>
      <c r="G93" s="9" t="s">
        <v>115</v>
      </c>
      <c r="H93" s="126">
        <f t="shared" si="3"/>
        <v>0</v>
      </c>
      <c r="I93" s="78"/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51" hidden="1">
      <c r="A94" s="82" t="s">
        <v>237</v>
      </c>
      <c r="B94" s="9"/>
      <c r="C94" s="83" t="s">
        <v>18</v>
      </c>
      <c r="D94" s="9" t="s">
        <v>81</v>
      </c>
      <c r="E94" s="83" t="s">
        <v>124</v>
      </c>
      <c r="F94" s="84" t="s">
        <v>238</v>
      </c>
      <c r="G94" s="84" t="s">
        <v>115</v>
      </c>
      <c r="H94" s="126">
        <f t="shared" si="3"/>
        <v>0</v>
      </c>
      <c r="I94" s="78"/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/>
    </row>
    <row r="95" spans="1:15" s="25" customFormat="1" ht="38.25" hidden="1">
      <c r="A95" s="82" t="s">
        <v>239</v>
      </c>
      <c r="B95" s="9"/>
      <c r="C95" s="83" t="s">
        <v>18</v>
      </c>
      <c r="D95" s="9" t="s">
        <v>81</v>
      </c>
      <c r="E95" s="83" t="s">
        <v>124</v>
      </c>
      <c r="F95" s="84" t="s">
        <v>240</v>
      </c>
      <c r="G95" s="84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/>
    </row>
    <row r="96" spans="1:15" s="25" customFormat="1" ht="25.5">
      <c r="A96" s="85" t="s">
        <v>248</v>
      </c>
      <c r="B96" s="9"/>
      <c r="C96" s="9" t="s">
        <v>20</v>
      </c>
      <c r="D96" s="9" t="s">
        <v>81</v>
      </c>
      <c r="E96" s="10" t="s">
        <v>108</v>
      </c>
      <c r="F96" s="10" t="s">
        <v>247</v>
      </c>
      <c r="G96" s="10" t="s">
        <v>115</v>
      </c>
      <c r="H96" s="126">
        <f t="shared" si="3"/>
        <v>30100</v>
      </c>
      <c r="I96" s="78">
        <f>10000+10000+15000-15000+10100</f>
        <v>30100</v>
      </c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/>
    </row>
    <row r="97" spans="1:15" s="25" customFormat="1" ht="25.5">
      <c r="A97" s="22" t="s">
        <v>241</v>
      </c>
      <c r="B97" s="9"/>
      <c r="C97" s="9" t="s">
        <v>20</v>
      </c>
      <c r="D97" s="9" t="s">
        <v>81</v>
      </c>
      <c r="E97" s="9" t="s">
        <v>108</v>
      </c>
      <c r="F97" s="9" t="s">
        <v>242</v>
      </c>
      <c r="G97" s="9" t="s">
        <v>115</v>
      </c>
      <c r="H97" s="126">
        <f t="shared" si="3"/>
        <v>38000</v>
      </c>
      <c r="I97" s="78">
        <f>33100+15000-10100</f>
        <v>38000</v>
      </c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/>
    </row>
    <row r="98" spans="1:15" s="25" customFormat="1" ht="25.5" hidden="1">
      <c r="A98" s="85" t="s">
        <v>243</v>
      </c>
      <c r="B98" s="57"/>
      <c r="C98" s="9" t="s">
        <v>20</v>
      </c>
      <c r="D98" s="9" t="s">
        <v>81</v>
      </c>
      <c r="E98" s="9" t="s">
        <v>108</v>
      </c>
      <c r="F98" s="9" t="s">
        <v>244</v>
      </c>
      <c r="G98" s="9" t="s">
        <v>115</v>
      </c>
      <c r="H98" s="126">
        <f t="shared" si="3"/>
        <v>0</v>
      </c>
      <c r="I98" s="78">
        <f>10000-10000</f>
        <v>0</v>
      </c>
      <c r="J98" s="78"/>
      <c r="K98" s="107" t="s">
        <v>76</v>
      </c>
      <c r="L98" s="107" t="s">
        <v>76</v>
      </c>
      <c r="M98" s="107" t="s">
        <v>76</v>
      </c>
      <c r="N98" s="107" t="s">
        <v>76</v>
      </c>
      <c r="O98" s="6"/>
    </row>
    <row r="99" spans="1:15" s="25" customFormat="1" ht="12.75" hidden="1">
      <c r="A99" s="22"/>
      <c r="B99" s="9"/>
      <c r="C99" s="9"/>
      <c r="D99" s="9"/>
      <c r="E99" s="9"/>
      <c r="F99" s="9"/>
      <c r="G99" s="9"/>
      <c r="H99" s="126"/>
      <c r="I99" s="78"/>
      <c r="J99" s="78"/>
      <c r="K99" s="107"/>
      <c r="L99" s="107"/>
      <c r="M99" s="107"/>
      <c r="N99" s="107"/>
      <c r="O99" s="6"/>
    </row>
    <row r="100" spans="1:15" s="25" customFormat="1" ht="12.75" hidden="1">
      <c r="A100" s="22"/>
      <c r="B100" s="9"/>
      <c r="C100" s="9"/>
      <c r="D100" s="9"/>
      <c r="E100" s="9"/>
      <c r="F100" s="9"/>
      <c r="G100" s="9"/>
      <c r="H100" s="126"/>
      <c r="I100" s="78"/>
      <c r="J100" s="78"/>
      <c r="K100" s="107"/>
      <c r="L100" s="107"/>
      <c r="M100" s="107"/>
      <c r="N100" s="107"/>
      <c r="O100" s="6"/>
    </row>
    <row r="101" spans="1:15" s="25" customFormat="1" ht="12.75" hidden="1">
      <c r="A101" s="22" t="s">
        <v>188</v>
      </c>
      <c r="B101" s="9"/>
      <c r="C101" s="9" t="s">
        <v>20</v>
      </c>
      <c r="D101" s="9" t="s">
        <v>81</v>
      </c>
      <c r="E101" s="9" t="s">
        <v>108</v>
      </c>
      <c r="F101" s="9" t="s">
        <v>119</v>
      </c>
      <c r="G101" s="9" t="s">
        <v>115</v>
      </c>
      <c r="H101" s="126">
        <f>I101</f>
        <v>0</v>
      </c>
      <c r="I101" s="78"/>
      <c r="J101" s="78"/>
      <c r="K101" s="107" t="s">
        <v>76</v>
      </c>
      <c r="L101" s="107" t="s">
        <v>76</v>
      </c>
      <c r="M101" s="107" t="s">
        <v>76</v>
      </c>
      <c r="N101" s="107" t="s">
        <v>76</v>
      </c>
      <c r="O101" s="6" t="s">
        <v>76</v>
      </c>
    </row>
    <row r="102" spans="1:15" s="25" customFormat="1" ht="13.5">
      <c r="A102" s="681" t="s">
        <v>125</v>
      </c>
      <c r="B102" s="683"/>
      <c r="C102" s="27" t="s">
        <v>21</v>
      </c>
      <c r="D102" s="3"/>
      <c r="E102" s="27"/>
      <c r="F102" s="3"/>
      <c r="G102" s="3"/>
      <c r="H102" s="124">
        <f>K102</f>
        <v>683740</v>
      </c>
      <c r="I102" s="98"/>
      <c r="J102" s="97"/>
      <c r="K102" s="97">
        <f>K105</f>
        <v>683740</v>
      </c>
      <c r="L102" s="110"/>
      <c r="M102" s="110"/>
      <c r="N102" s="111" t="s">
        <v>107</v>
      </c>
      <c r="O102" s="28"/>
    </row>
    <row r="103" spans="1:15" s="25" customFormat="1" ht="12.75" hidden="1">
      <c r="A103" s="22" t="s">
        <v>4</v>
      </c>
      <c r="B103" s="9"/>
      <c r="C103" s="9"/>
      <c r="D103" s="9"/>
      <c r="E103" s="9"/>
      <c r="F103" s="9" t="s">
        <v>99</v>
      </c>
      <c r="G103" s="9" t="s">
        <v>109</v>
      </c>
      <c r="H103" s="126">
        <f>I103</f>
        <v>0</v>
      </c>
      <c r="I103" s="78"/>
      <c r="J103" s="78"/>
      <c r="K103" s="116" t="s">
        <v>76</v>
      </c>
      <c r="L103" s="107" t="s">
        <v>76</v>
      </c>
      <c r="M103" s="107" t="s">
        <v>76</v>
      </c>
      <c r="N103" s="107" t="s">
        <v>76</v>
      </c>
      <c r="O103" s="6" t="s">
        <v>76</v>
      </c>
    </row>
    <row r="104" spans="1:15" s="25" customFormat="1" ht="12.75" hidden="1">
      <c r="A104" s="22" t="s">
        <v>5</v>
      </c>
      <c r="B104" s="9"/>
      <c r="C104" s="9"/>
      <c r="D104" s="9"/>
      <c r="E104" s="9"/>
      <c r="F104" s="9"/>
      <c r="G104" s="9"/>
      <c r="H104" s="126">
        <f>I104</f>
        <v>0</v>
      </c>
      <c r="I104" s="78"/>
      <c r="J104" s="78"/>
      <c r="K104" s="116" t="s">
        <v>76</v>
      </c>
      <c r="L104" s="107" t="s">
        <v>76</v>
      </c>
      <c r="M104" s="107" t="s">
        <v>76</v>
      </c>
      <c r="N104" s="107" t="s">
        <v>76</v>
      </c>
      <c r="O104" s="6" t="s">
        <v>76</v>
      </c>
    </row>
    <row r="105" spans="1:15" s="25" customFormat="1" ht="13.5">
      <c r="A105" s="22" t="s">
        <v>12</v>
      </c>
      <c r="B105" s="9"/>
      <c r="C105" s="41" t="s">
        <v>21</v>
      </c>
      <c r="D105" s="9" t="s">
        <v>89</v>
      </c>
      <c r="E105" s="9" t="s">
        <v>126</v>
      </c>
      <c r="F105" s="9" t="s">
        <v>116</v>
      </c>
      <c r="G105" s="9" t="s">
        <v>115</v>
      </c>
      <c r="H105" s="126">
        <f aca="true" t="shared" si="4" ref="H105:H120">K105</f>
        <v>683740</v>
      </c>
      <c r="I105" s="107" t="s">
        <v>76</v>
      </c>
      <c r="J105" s="78"/>
      <c r="K105" s="391">
        <f>676900-23560+30400</f>
        <v>683740</v>
      </c>
      <c r="L105" s="107" t="s">
        <v>76</v>
      </c>
      <c r="M105" s="107" t="s">
        <v>76</v>
      </c>
      <c r="N105" s="107" t="s">
        <v>76</v>
      </c>
      <c r="O105" s="6" t="s">
        <v>76</v>
      </c>
    </row>
    <row r="106" spans="1:15" s="25" customFormat="1" ht="18.75" customHeight="1" hidden="1">
      <c r="A106" s="687" t="s">
        <v>127</v>
      </c>
      <c r="B106" s="688"/>
      <c r="C106" s="27" t="s">
        <v>22</v>
      </c>
      <c r="D106" s="3"/>
      <c r="E106" s="3"/>
      <c r="F106" s="3"/>
      <c r="G106" s="3"/>
      <c r="H106" s="131">
        <f t="shared" si="4"/>
        <v>0</v>
      </c>
      <c r="I106" s="117"/>
      <c r="J106" s="110"/>
      <c r="K106" s="118">
        <f>K107</f>
        <v>0</v>
      </c>
      <c r="L106" s="117"/>
      <c r="M106" s="117"/>
      <c r="N106" s="117"/>
      <c r="O106" s="6"/>
    </row>
    <row r="107" spans="1:15" s="25" customFormat="1" ht="13.5" customHeight="1" hidden="1">
      <c r="A107" s="22" t="s">
        <v>12</v>
      </c>
      <c r="B107" s="40"/>
      <c r="C107" s="41" t="s">
        <v>22</v>
      </c>
      <c r="D107" s="9" t="s">
        <v>81</v>
      </c>
      <c r="E107" s="9" t="s">
        <v>108</v>
      </c>
      <c r="F107" s="9" t="s">
        <v>116</v>
      </c>
      <c r="G107" s="9" t="s">
        <v>115</v>
      </c>
      <c r="H107" s="126">
        <f t="shared" si="4"/>
        <v>0</v>
      </c>
      <c r="I107" s="107" t="s">
        <v>76</v>
      </c>
      <c r="J107" s="78"/>
      <c r="K107" s="116"/>
      <c r="L107" s="107"/>
      <c r="M107" s="107"/>
      <c r="N107" s="107" t="s">
        <v>76</v>
      </c>
      <c r="O107" s="6"/>
    </row>
    <row r="108" spans="1:15" s="25" customFormat="1" ht="28.5" customHeight="1">
      <c r="A108" s="39" t="s">
        <v>190</v>
      </c>
      <c r="B108" s="55"/>
      <c r="C108" s="27" t="s">
        <v>41</v>
      </c>
      <c r="D108" s="3"/>
      <c r="E108" s="3"/>
      <c r="F108" s="3"/>
      <c r="G108" s="3"/>
      <c r="H108" s="124">
        <f t="shared" si="4"/>
        <v>24000</v>
      </c>
      <c r="I108" s="119"/>
      <c r="J108" s="97"/>
      <c r="K108" s="120">
        <f>K109</f>
        <v>24000</v>
      </c>
      <c r="L108" s="117"/>
      <c r="M108" s="117"/>
      <c r="N108" s="117"/>
      <c r="O108" s="6"/>
    </row>
    <row r="109" spans="1:15" s="25" customFormat="1" ht="12.75">
      <c r="A109" s="22" t="s">
        <v>12</v>
      </c>
      <c r="B109" s="40"/>
      <c r="C109" s="9" t="s">
        <v>41</v>
      </c>
      <c r="D109" s="9" t="s">
        <v>81</v>
      </c>
      <c r="E109" s="9" t="s">
        <v>154</v>
      </c>
      <c r="F109" s="9" t="s">
        <v>116</v>
      </c>
      <c r="G109" s="9" t="s">
        <v>115</v>
      </c>
      <c r="H109" s="126">
        <f t="shared" si="4"/>
        <v>24000</v>
      </c>
      <c r="I109" s="107" t="s">
        <v>76</v>
      </c>
      <c r="J109" s="78"/>
      <c r="K109" s="116">
        <v>24000</v>
      </c>
      <c r="L109" s="107"/>
      <c r="M109" s="107"/>
      <c r="N109" s="107" t="s">
        <v>76</v>
      </c>
      <c r="O109" s="6"/>
    </row>
    <row r="110" spans="1:15" s="25" customFormat="1" ht="36" customHeight="1">
      <c r="A110" s="681" t="s">
        <v>374</v>
      </c>
      <c r="B110" s="683"/>
      <c r="C110" s="27" t="s">
        <v>373</v>
      </c>
      <c r="D110" s="3"/>
      <c r="E110" s="3"/>
      <c r="F110" s="3"/>
      <c r="G110" s="3"/>
      <c r="H110" s="435">
        <f t="shared" si="4"/>
        <v>60000</v>
      </c>
      <c r="I110" s="436" t="s">
        <v>76</v>
      </c>
      <c r="J110" s="437"/>
      <c r="K110" s="435">
        <f>SUM(K111:K114)</f>
        <v>60000</v>
      </c>
      <c r="L110" s="435">
        <f>SUM(L111:L114)</f>
        <v>0</v>
      </c>
      <c r="M110" s="435">
        <f>SUM(M111:M114)</f>
        <v>0</v>
      </c>
      <c r="N110" s="435"/>
      <c r="O110" s="6"/>
    </row>
    <row r="111" spans="1:15" s="25" customFormat="1" ht="12.75">
      <c r="A111" s="8" t="s">
        <v>335</v>
      </c>
      <c r="B111" s="40"/>
      <c r="C111" s="60" t="s">
        <v>373</v>
      </c>
      <c r="D111" s="434" t="s">
        <v>332</v>
      </c>
      <c r="E111" s="9" t="s">
        <v>108</v>
      </c>
      <c r="F111" s="9" t="s">
        <v>116</v>
      </c>
      <c r="G111" s="9" t="s">
        <v>115</v>
      </c>
      <c r="H111" s="433">
        <f t="shared" si="4"/>
        <v>43200</v>
      </c>
      <c r="I111" s="107"/>
      <c r="J111" s="78"/>
      <c r="K111" s="116">
        <v>43200</v>
      </c>
      <c r="L111" s="107"/>
      <c r="M111" s="107"/>
      <c r="N111" s="107"/>
      <c r="O111" s="6"/>
    </row>
    <row r="112" spans="1:15" s="25" customFormat="1" ht="12.75">
      <c r="A112" s="8" t="s">
        <v>336</v>
      </c>
      <c r="B112" s="40"/>
      <c r="C112" s="60" t="s">
        <v>373</v>
      </c>
      <c r="D112" s="434" t="s">
        <v>214</v>
      </c>
      <c r="E112" s="9" t="s">
        <v>108</v>
      </c>
      <c r="F112" s="9" t="s">
        <v>116</v>
      </c>
      <c r="G112" s="9" t="s">
        <v>115</v>
      </c>
      <c r="H112" s="433">
        <f t="shared" si="4"/>
        <v>4800</v>
      </c>
      <c r="I112" s="107"/>
      <c r="J112" s="78"/>
      <c r="K112" s="116">
        <v>4800</v>
      </c>
      <c r="L112" s="107"/>
      <c r="M112" s="107"/>
      <c r="N112" s="107"/>
      <c r="O112" s="6"/>
    </row>
    <row r="113" spans="1:15" s="25" customFormat="1" ht="12.75">
      <c r="A113" s="8" t="s">
        <v>336</v>
      </c>
      <c r="B113" s="40"/>
      <c r="C113" s="60" t="s">
        <v>373</v>
      </c>
      <c r="D113" s="434" t="s">
        <v>333</v>
      </c>
      <c r="E113" s="9" t="s">
        <v>108</v>
      </c>
      <c r="F113" s="9" t="s">
        <v>116</v>
      </c>
      <c r="G113" s="9" t="s">
        <v>115</v>
      </c>
      <c r="H113" s="433">
        <f t="shared" si="4"/>
        <v>10800</v>
      </c>
      <c r="I113" s="107"/>
      <c r="J113" s="78"/>
      <c r="K113" s="116">
        <v>10800</v>
      </c>
      <c r="L113" s="107"/>
      <c r="M113" s="107"/>
      <c r="N113" s="107"/>
      <c r="O113" s="6"/>
    </row>
    <row r="114" spans="1:15" s="25" customFormat="1" ht="12.75">
      <c r="A114" s="8" t="s">
        <v>337</v>
      </c>
      <c r="B114" s="40"/>
      <c r="C114" s="60" t="s">
        <v>373</v>
      </c>
      <c r="D114" s="434" t="s">
        <v>216</v>
      </c>
      <c r="E114" s="9" t="s">
        <v>108</v>
      </c>
      <c r="F114" s="9" t="s">
        <v>116</v>
      </c>
      <c r="G114" s="9" t="s">
        <v>115</v>
      </c>
      <c r="H114" s="433">
        <f t="shared" si="4"/>
        <v>1200</v>
      </c>
      <c r="I114" s="107"/>
      <c r="J114" s="78"/>
      <c r="K114" s="116">
        <v>1200</v>
      </c>
      <c r="L114" s="107"/>
      <c r="M114" s="107"/>
      <c r="N114" s="107"/>
      <c r="O114" s="6"/>
    </row>
    <row r="115" spans="1:15" s="25" customFormat="1" ht="41.25" customHeight="1">
      <c r="A115" s="681" t="s">
        <v>334</v>
      </c>
      <c r="B115" s="683"/>
      <c r="C115" s="27" t="s">
        <v>211</v>
      </c>
      <c r="D115" s="3"/>
      <c r="E115" s="3"/>
      <c r="F115" s="3"/>
      <c r="G115" s="3"/>
      <c r="H115" s="124">
        <f t="shared" si="4"/>
        <v>104673</v>
      </c>
      <c r="I115" s="117" t="s">
        <v>76</v>
      </c>
      <c r="J115" s="110"/>
      <c r="K115" s="97">
        <f>SUM(K116:K120)</f>
        <v>104673</v>
      </c>
      <c r="L115" s="117"/>
      <c r="M115" s="117"/>
      <c r="N115" s="117" t="s">
        <v>76</v>
      </c>
      <c r="O115" s="6"/>
    </row>
    <row r="116" spans="1:15" s="25" customFormat="1" ht="12.75">
      <c r="A116" s="22" t="s">
        <v>12</v>
      </c>
      <c r="B116" s="57"/>
      <c r="C116" s="9" t="s">
        <v>204</v>
      </c>
      <c r="D116" s="9" t="s">
        <v>81</v>
      </c>
      <c r="E116" s="9" t="s">
        <v>108</v>
      </c>
      <c r="F116" s="9" t="s">
        <v>116</v>
      </c>
      <c r="G116" s="9" t="s">
        <v>115</v>
      </c>
      <c r="H116" s="126">
        <f t="shared" si="4"/>
        <v>80000</v>
      </c>
      <c r="I116" s="107" t="s">
        <v>76</v>
      </c>
      <c r="J116" s="107"/>
      <c r="K116" s="116">
        <v>80000</v>
      </c>
      <c r="L116" s="107"/>
      <c r="M116" s="107"/>
      <c r="N116" s="107" t="s">
        <v>76</v>
      </c>
      <c r="O116" s="6"/>
    </row>
    <row r="117" spans="1:15" s="25" customFormat="1" ht="12.75">
      <c r="A117" s="8" t="s">
        <v>502</v>
      </c>
      <c r="B117" s="9"/>
      <c r="C117" s="9" t="s">
        <v>211</v>
      </c>
      <c r="D117" s="9" t="s">
        <v>81</v>
      </c>
      <c r="E117" s="9" t="s">
        <v>108</v>
      </c>
      <c r="F117" s="9" t="s">
        <v>118</v>
      </c>
      <c r="G117" s="9" t="s">
        <v>115</v>
      </c>
      <c r="H117" s="126">
        <f t="shared" si="4"/>
        <v>24673</v>
      </c>
      <c r="I117" s="107" t="s">
        <v>76</v>
      </c>
      <c r="J117" s="78"/>
      <c r="K117" s="109">
        <v>24673</v>
      </c>
      <c r="L117" s="107"/>
      <c r="M117" s="107"/>
      <c r="N117" s="107" t="s">
        <v>76</v>
      </c>
      <c r="O117" s="64" t="s">
        <v>76</v>
      </c>
    </row>
    <row r="118" spans="1:15" s="25" customFormat="1" ht="12.75">
      <c r="A118" s="8" t="s">
        <v>336</v>
      </c>
      <c r="B118" s="9"/>
      <c r="C118" s="9" t="s">
        <v>211</v>
      </c>
      <c r="D118" s="393" t="s">
        <v>214</v>
      </c>
      <c r="E118" s="9" t="s">
        <v>108</v>
      </c>
      <c r="F118" s="9" t="s">
        <v>116</v>
      </c>
      <c r="G118" s="9" t="s">
        <v>115</v>
      </c>
      <c r="H118" s="126">
        <f t="shared" si="4"/>
        <v>0</v>
      </c>
      <c r="I118" s="107" t="s">
        <v>76</v>
      </c>
      <c r="J118" s="78"/>
      <c r="K118" s="78"/>
      <c r="L118" s="107"/>
      <c r="M118" s="107"/>
      <c r="N118" s="107" t="s">
        <v>76</v>
      </c>
      <c r="O118" s="6"/>
    </row>
    <row r="119" spans="1:15" s="25" customFormat="1" ht="12.75">
      <c r="A119" s="8" t="s">
        <v>336</v>
      </c>
      <c r="B119" s="9"/>
      <c r="C119" s="9" t="s">
        <v>211</v>
      </c>
      <c r="D119" s="393" t="s">
        <v>333</v>
      </c>
      <c r="E119" s="9" t="s">
        <v>108</v>
      </c>
      <c r="F119" s="9" t="s">
        <v>116</v>
      </c>
      <c r="G119" s="9" t="s">
        <v>115</v>
      </c>
      <c r="H119" s="126">
        <f t="shared" si="4"/>
        <v>0</v>
      </c>
      <c r="I119" s="107" t="s">
        <v>76</v>
      </c>
      <c r="J119" s="78"/>
      <c r="K119" s="78"/>
      <c r="L119" s="107"/>
      <c r="M119" s="107"/>
      <c r="N119" s="107" t="s">
        <v>76</v>
      </c>
      <c r="O119" s="6"/>
    </row>
    <row r="120" spans="1:15" s="25" customFormat="1" ht="12.75">
      <c r="A120" s="8" t="s">
        <v>337</v>
      </c>
      <c r="B120" s="9"/>
      <c r="C120" s="9" t="s">
        <v>211</v>
      </c>
      <c r="D120" s="393" t="s">
        <v>216</v>
      </c>
      <c r="E120" s="9" t="s">
        <v>108</v>
      </c>
      <c r="F120" s="9" t="s">
        <v>116</v>
      </c>
      <c r="G120" s="9" t="s">
        <v>115</v>
      </c>
      <c r="H120" s="126">
        <f t="shared" si="4"/>
        <v>0</v>
      </c>
      <c r="I120" s="107" t="s">
        <v>76</v>
      </c>
      <c r="J120" s="78"/>
      <c r="K120" s="78"/>
      <c r="L120" s="107"/>
      <c r="M120" s="107"/>
      <c r="N120" s="107" t="s">
        <v>76</v>
      </c>
      <c r="O120" s="6"/>
    </row>
    <row r="121" spans="1:15" s="25" customFormat="1" ht="41.25" customHeight="1">
      <c r="A121" s="681" t="s">
        <v>360</v>
      </c>
      <c r="B121" s="683"/>
      <c r="C121" s="27" t="s">
        <v>51</v>
      </c>
      <c r="D121" s="43"/>
      <c r="E121" s="42"/>
      <c r="F121" s="42"/>
      <c r="G121" s="42"/>
      <c r="H121" s="124"/>
      <c r="I121" s="119"/>
      <c r="J121" s="97"/>
      <c r="K121" s="120">
        <f>SUM(K123:K131)</f>
        <v>411025.7</v>
      </c>
      <c r="L121" s="119"/>
      <c r="M121" s="119"/>
      <c r="N121" s="119"/>
      <c r="O121" s="6"/>
    </row>
    <row r="122" spans="1:15" s="25" customFormat="1" ht="12.75" hidden="1">
      <c r="A122" s="61" t="s">
        <v>11</v>
      </c>
      <c r="B122" s="59"/>
      <c r="C122" s="59" t="s">
        <v>51</v>
      </c>
      <c r="D122" s="59" t="s">
        <v>81</v>
      </c>
      <c r="E122" s="59" t="s">
        <v>218</v>
      </c>
      <c r="F122" s="59" t="s">
        <v>121</v>
      </c>
      <c r="G122" s="59" t="s">
        <v>115</v>
      </c>
      <c r="H122" s="127">
        <f aca="true" t="shared" si="5" ref="H122:H131">K122</f>
        <v>0</v>
      </c>
      <c r="I122" s="101" t="s">
        <v>76</v>
      </c>
      <c r="J122" s="102"/>
      <c r="K122" s="104"/>
      <c r="L122" s="102"/>
      <c r="M122" s="100"/>
      <c r="N122" s="101" t="s">
        <v>76</v>
      </c>
      <c r="O122" s="6"/>
    </row>
    <row r="123" spans="1:15" s="25" customFormat="1" ht="12.75">
      <c r="A123" s="684" t="s">
        <v>12</v>
      </c>
      <c r="B123" s="9"/>
      <c r="C123" s="678" t="s">
        <v>51</v>
      </c>
      <c r="D123" s="9" t="s">
        <v>81</v>
      </c>
      <c r="E123" s="678" t="s">
        <v>218</v>
      </c>
      <c r="F123" s="678" t="s">
        <v>116</v>
      </c>
      <c r="G123" s="678" t="s">
        <v>115</v>
      </c>
      <c r="H123" s="126">
        <f t="shared" si="5"/>
        <v>201123.7</v>
      </c>
      <c r="I123" s="107" t="s">
        <v>76</v>
      </c>
      <c r="J123" s="107"/>
      <c r="K123" s="116">
        <f>195152.7+2985.5+2985.5</f>
        <v>201123.7</v>
      </c>
      <c r="L123" s="107"/>
      <c r="M123" s="107"/>
      <c r="N123" s="107" t="s">
        <v>76</v>
      </c>
      <c r="O123" s="6"/>
    </row>
    <row r="124" spans="1:15" s="25" customFormat="1" ht="12.75">
      <c r="A124" s="685"/>
      <c r="B124" s="9"/>
      <c r="C124" s="679"/>
      <c r="D124" s="9" t="s">
        <v>219</v>
      </c>
      <c r="E124" s="679"/>
      <c r="F124" s="679"/>
      <c r="G124" s="679"/>
      <c r="H124" s="126">
        <f t="shared" si="5"/>
        <v>188911.8</v>
      </c>
      <c r="I124" s="107" t="s">
        <v>76</v>
      </c>
      <c r="J124" s="107"/>
      <c r="K124" s="116">
        <f>148024.8+20443.5+20443.5</f>
        <v>188911.8</v>
      </c>
      <c r="L124" s="107"/>
      <c r="M124" s="107"/>
      <c r="N124" s="107" t="s">
        <v>76</v>
      </c>
      <c r="O124" s="6"/>
    </row>
    <row r="125" spans="1:15" s="25" customFormat="1" ht="12.75">
      <c r="A125" s="686"/>
      <c r="B125" s="9"/>
      <c r="C125" s="680"/>
      <c r="D125" s="9" t="s">
        <v>196</v>
      </c>
      <c r="E125" s="680"/>
      <c r="F125" s="680"/>
      <c r="G125" s="680"/>
      <c r="H125" s="126">
        <f t="shared" si="5"/>
        <v>12136.6</v>
      </c>
      <c r="I125" s="107"/>
      <c r="J125" s="107"/>
      <c r="K125" s="116">
        <f>7593.6+2271.5+2271.5</f>
        <v>12136.6</v>
      </c>
      <c r="L125" s="107"/>
      <c r="M125" s="107"/>
      <c r="N125" s="107" t="s">
        <v>76</v>
      </c>
      <c r="O125" s="6"/>
    </row>
    <row r="126" spans="1:15" s="25" customFormat="1" ht="12.75">
      <c r="A126" s="431" t="s">
        <v>362</v>
      </c>
      <c r="B126" s="9"/>
      <c r="C126" s="9" t="s">
        <v>51</v>
      </c>
      <c r="D126" s="9" t="s">
        <v>196</v>
      </c>
      <c r="E126" s="9" t="s">
        <v>218</v>
      </c>
      <c r="F126" s="9" t="s">
        <v>361</v>
      </c>
      <c r="G126" s="9" t="s">
        <v>115</v>
      </c>
      <c r="H126" s="126">
        <f t="shared" si="5"/>
        <v>2272.2</v>
      </c>
      <c r="I126" s="107"/>
      <c r="J126" s="107"/>
      <c r="K126" s="116">
        <v>2272.2</v>
      </c>
      <c r="L126" s="107"/>
      <c r="M126" s="107"/>
      <c r="N126" s="107" t="s">
        <v>76</v>
      </c>
      <c r="O126" s="6"/>
    </row>
    <row r="127" spans="1:15" s="25" customFormat="1" ht="39.75" customHeight="1">
      <c r="A127" s="431" t="s">
        <v>363</v>
      </c>
      <c r="B127" s="9"/>
      <c r="C127" s="9" t="s">
        <v>51</v>
      </c>
      <c r="D127" s="9" t="s">
        <v>196</v>
      </c>
      <c r="E127" s="9" t="s">
        <v>218</v>
      </c>
      <c r="F127" s="9" t="s">
        <v>240</v>
      </c>
      <c r="G127" s="9" t="s">
        <v>115</v>
      </c>
      <c r="H127" s="126">
        <f t="shared" si="5"/>
        <v>2625</v>
      </c>
      <c r="I127" s="107"/>
      <c r="J127" s="107"/>
      <c r="K127" s="116">
        <v>2625</v>
      </c>
      <c r="L127" s="107"/>
      <c r="M127" s="107"/>
      <c r="N127" s="107" t="s">
        <v>76</v>
      </c>
      <c r="O127" s="6"/>
    </row>
    <row r="128" spans="1:15" s="25" customFormat="1" ht="28.5" customHeight="1">
      <c r="A128" s="431" t="s">
        <v>364</v>
      </c>
      <c r="B128" s="9"/>
      <c r="C128" s="9" t="s">
        <v>51</v>
      </c>
      <c r="D128" s="9" t="s">
        <v>196</v>
      </c>
      <c r="E128" s="9" t="s">
        <v>218</v>
      </c>
      <c r="F128" s="9" t="s">
        <v>242</v>
      </c>
      <c r="G128" s="9" t="s">
        <v>115</v>
      </c>
      <c r="H128" s="126">
        <f t="shared" si="5"/>
        <v>3956.4</v>
      </c>
      <c r="I128" s="107"/>
      <c r="J128" s="107"/>
      <c r="K128" s="116">
        <v>3956.4</v>
      </c>
      <c r="L128" s="107"/>
      <c r="M128" s="107"/>
      <c r="N128" s="107" t="s">
        <v>76</v>
      </c>
      <c r="O128" s="6"/>
    </row>
    <row r="129" spans="1:15" s="25" customFormat="1" ht="12.75" hidden="1">
      <c r="A129" s="22" t="s">
        <v>359</v>
      </c>
      <c r="B129" s="9"/>
      <c r="C129" s="9" t="s">
        <v>51</v>
      </c>
      <c r="D129" s="9" t="s">
        <v>81</v>
      </c>
      <c r="E129" s="9" t="s">
        <v>218</v>
      </c>
      <c r="F129" s="9" t="s">
        <v>118</v>
      </c>
      <c r="G129" s="9" t="s">
        <v>115</v>
      </c>
      <c r="H129" s="126">
        <f t="shared" si="5"/>
        <v>0</v>
      </c>
      <c r="I129" s="107" t="s">
        <v>76</v>
      </c>
      <c r="J129" s="107"/>
      <c r="K129" s="116"/>
      <c r="L129" s="101"/>
      <c r="M129" s="101"/>
      <c r="N129" s="101" t="s">
        <v>76</v>
      </c>
      <c r="O129" s="6"/>
    </row>
    <row r="130" spans="1:15" s="25" customFormat="1" ht="12.75" hidden="1">
      <c r="A130" s="684" t="s">
        <v>221</v>
      </c>
      <c r="B130" s="9"/>
      <c r="C130" s="678" t="s">
        <v>51</v>
      </c>
      <c r="D130" s="9" t="s">
        <v>81</v>
      </c>
      <c r="E130" s="678" t="s">
        <v>218</v>
      </c>
      <c r="F130" s="678" t="s">
        <v>119</v>
      </c>
      <c r="G130" s="678" t="s">
        <v>115</v>
      </c>
      <c r="H130" s="126">
        <f t="shared" si="5"/>
        <v>0</v>
      </c>
      <c r="I130" s="107" t="s">
        <v>76</v>
      </c>
      <c r="J130" s="107"/>
      <c r="K130" s="116"/>
      <c r="L130" s="101"/>
      <c r="M130" s="101"/>
      <c r="N130" s="101" t="s">
        <v>76</v>
      </c>
      <c r="O130" s="6"/>
    </row>
    <row r="131" spans="1:15" s="25" customFormat="1" ht="12.75" hidden="1">
      <c r="A131" s="686"/>
      <c r="B131" s="9"/>
      <c r="C131" s="680"/>
      <c r="D131" s="9" t="s">
        <v>196</v>
      </c>
      <c r="E131" s="680"/>
      <c r="F131" s="680"/>
      <c r="G131" s="680"/>
      <c r="H131" s="126">
        <f t="shared" si="5"/>
        <v>0</v>
      </c>
      <c r="I131" s="107" t="s">
        <v>76</v>
      </c>
      <c r="J131" s="107"/>
      <c r="K131" s="116"/>
      <c r="L131" s="101"/>
      <c r="M131" s="101"/>
      <c r="N131" s="101" t="s">
        <v>76</v>
      </c>
      <c r="O131" s="6"/>
    </row>
    <row r="132" spans="1:15" s="25" customFormat="1" ht="15" customHeight="1">
      <c r="A132" s="681" t="s">
        <v>210</v>
      </c>
      <c r="B132" s="683"/>
      <c r="C132" s="27" t="s">
        <v>163</v>
      </c>
      <c r="D132" s="44"/>
      <c r="E132" s="3"/>
      <c r="F132" s="3"/>
      <c r="G132" s="3"/>
      <c r="H132" s="131"/>
      <c r="I132" s="117"/>
      <c r="J132" s="110"/>
      <c r="K132" s="120">
        <f>K133+K134</f>
        <v>950000</v>
      </c>
      <c r="L132" s="117"/>
      <c r="M132" s="117"/>
      <c r="N132" s="117"/>
      <c r="O132" s="6"/>
    </row>
    <row r="133" spans="1:15" s="25" customFormat="1" ht="15.75" customHeight="1">
      <c r="A133" s="22" t="s">
        <v>11</v>
      </c>
      <c r="B133" s="40"/>
      <c r="C133" s="41" t="s">
        <v>163</v>
      </c>
      <c r="D133" s="6" t="s">
        <v>162</v>
      </c>
      <c r="E133" s="9" t="s">
        <v>157</v>
      </c>
      <c r="F133" s="46">
        <v>225</v>
      </c>
      <c r="G133" s="9" t="s">
        <v>115</v>
      </c>
      <c r="H133" s="129" t="s">
        <v>76</v>
      </c>
      <c r="I133" s="107" t="s">
        <v>76</v>
      </c>
      <c r="J133" s="78"/>
      <c r="K133" s="116">
        <v>950000</v>
      </c>
      <c r="L133" s="107"/>
      <c r="M133" s="107"/>
      <c r="N133" s="107" t="s">
        <v>76</v>
      </c>
      <c r="O133" s="6"/>
    </row>
    <row r="134" spans="1:15" s="25" customFormat="1" ht="13.5" hidden="1">
      <c r="A134" s="47" t="s">
        <v>14</v>
      </c>
      <c r="B134" s="40"/>
      <c r="C134" s="41" t="s">
        <v>163</v>
      </c>
      <c r="D134" s="6" t="s">
        <v>162</v>
      </c>
      <c r="E134" s="9" t="s">
        <v>157</v>
      </c>
      <c r="F134" s="9" t="s">
        <v>118</v>
      </c>
      <c r="G134" s="9" t="s">
        <v>115</v>
      </c>
      <c r="H134" s="126"/>
      <c r="I134" s="107"/>
      <c r="J134" s="78"/>
      <c r="K134" s="116"/>
      <c r="L134" s="107"/>
      <c r="M134" s="107"/>
      <c r="N134" s="107"/>
      <c r="O134" s="6"/>
    </row>
    <row r="135" spans="1:15" s="25" customFormat="1" ht="15" customHeight="1" hidden="1">
      <c r="A135" s="681" t="s">
        <v>177</v>
      </c>
      <c r="B135" s="683"/>
      <c r="C135" s="27" t="s">
        <v>23</v>
      </c>
      <c r="D135" s="44"/>
      <c r="E135" s="3"/>
      <c r="F135" s="3"/>
      <c r="G135" s="3"/>
      <c r="H135" s="131"/>
      <c r="I135" s="117"/>
      <c r="J135" s="110"/>
      <c r="K135" s="118">
        <f>K136</f>
        <v>0</v>
      </c>
      <c r="L135" s="117"/>
      <c r="M135" s="117"/>
      <c r="N135" s="117"/>
      <c r="O135" s="6"/>
    </row>
    <row r="136" spans="1:15" s="25" customFormat="1" ht="15" customHeight="1" hidden="1">
      <c r="A136" s="22" t="s">
        <v>178</v>
      </c>
      <c r="B136" s="9"/>
      <c r="C136" s="9" t="s">
        <v>23</v>
      </c>
      <c r="D136" s="9" t="s">
        <v>81</v>
      </c>
      <c r="E136" s="9" t="s">
        <v>108</v>
      </c>
      <c r="F136" s="9" t="s">
        <v>116</v>
      </c>
      <c r="G136" s="9" t="s">
        <v>115</v>
      </c>
      <c r="H136" s="126"/>
      <c r="I136" s="107"/>
      <c r="J136" s="78"/>
      <c r="K136" s="116"/>
      <c r="L136" s="107"/>
      <c r="M136" s="107"/>
      <c r="N136" s="107"/>
      <c r="O136" s="6"/>
    </row>
    <row r="137" spans="1:15" s="25" customFormat="1" ht="29.25" customHeight="1" hidden="1">
      <c r="A137" s="681" t="s">
        <v>191</v>
      </c>
      <c r="B137" s="683"/>
      <c r="C137" s="27" t="s">
        <v>192</v>
      </c>
      <c r="D137" s="3"/>
      <c r="E137" s="3"/>
      <c r="F137" s="3"/>
      <c r="G137" s="3"/>
      <c r="H137" s="124">
        <f aca="true" t="shared" si="6" ref="H137:H145">K137</f>
        <v>0</v>
      </c>
      <c r="I137" s="119"/>
      <c r="J137" s="97"/>
      <c r="K137" s="97">
        <f>K138+K139</f>
        <v>0</v>
      </c>
      <c r="L137" s="117"/>
      <c r="M137" s="117"/>
      <c r="N137" s="117"/>
      <c r="O137" s="6"/>
    </row>
    <row r="138" spans="1:15" s="25" customFormat="1" ht="16.5" customHeight="1" hidden="1">
      <c r="A138" s="61" t="s">
        <v>195</v>
      </c>
      <c r="B138" s="67"/>
      <c r="C138" s="59" t="s">
        <v>192</v>
      </c>
      <c r="D138" s="59" t="s">
        <v>193</v>
      </c>
      <c r="E138" s="59" t="s">
        <v>108</v>
      </c>
      <c r="F138" s="59" t="s">
        <v>121</v>
      </c>
      <c r="G138" s="59" t="s">
        <v>194</v>
      </c>
      <c r="H138" s="127">
        <f t="shared" si="6"/>
        <v>0</v>
      </c>
      <c r="I138" s="101" t="s">
        <v>76</v>
      </c>
      <c r="J138" s="100"/>
      <c r="K138" s="104"/>
      <c r="L138" s="101"/>
      <c r="M138" s="101"/>
      <c r="N138" s="101" t="s">
        <v>76</v>
      </c>
      <c r="O138" s="6"/>
    </row>
    <row r="139" spans="1:15" s="25" customFormat="1" ht="16.5" customHeight="1" hidden="1">
      <c r="A139" s="61" t="s">
        <v>195</v>
      </c>
      <c r="B139" s="68"/>
      <c r="C139" s="59" t="s">
        <v>192</v>
      </c>
      <c r="D139" s="59" t="s">
        <v>196</v>
      </c>
      <c r="E139" s="59" t="s">
        <v>108</v>
      </c>
      <c r="F139" s="59" t="s">
        <v>121</v>
      </c>
      <c r="G139" s="59" t="s">
        <v>194</v>
      </c>
      <c r="H139" s="127">
        <f t="shared" si="6"/>
        <v>0</v>
      </c>
      <c r="I139" s="101" t="s">
        <v>76</v>
      </c>
      <c r="J139" s="100"/>
      <c r="K139" s="104"/>
      <c r="L139" s="101"/>
      <c r="M139" s="101"/>
      <c r="N139" s="101" t="s">
        <v>76</v>
      </c>
      <c r="O139" s="6"/>
    </row>
    <row r="140" spans="1:15" s="25" customFormat="1" ht="16.5" customHeight="1">
      <c r="A140" s="39" t="s">
        <v>222</v>
      </c>
      <c r="B140" s="38"/>
      <c r="C140" s="27" t="s">
        <v>203</v>
      </c>
      <c r="D140" s="3"/>
      <c r="E140" s="3"/>
      <c r="F140" s="3"/>
      <c r="G140" s="3"/>
      <c r="H140" s="124">
        <f t="shared" si="6"/>
        <v>10000</v>
      </c>
      <c r="I140" s="117" t="s">
        <v>76</v>
      </c>
      <c r="J140" s="110"/>
      <c r="K140" s="120">
        <f>K141</f>
        <v>10000</v>
      </c>
      <c r="L140" s="117"/>
      <c r="M140" s="117"/>
      <c r="N140" s="117" t="s">
        <v>76</v>
      </c>
      <c r="O140" s="6"/>
    </row>
    <row r="141" spans="1:15" s="25" customFormat="1" ht="24" customHeight="1">
      <c r="A141" s="22" t="s">
        <v>236</v>
      </c>
      <c r="B141" s="40"/>
      <c r="C141" s="9" t="s">
        <v>203</v>
      </c>
      <c r="D141" s="9" t="s">
        <v>81</v>
      </c>
      <c r="E141" s="9" t="s">
        <v>108</v>
      </c>
      <c r="F141" s="9" t="s">
        <v>205</v>
      </c>
      <c r="G141" s="9" t="s">
        <v>123</v>
      </c>
      <c r="H141" s="126">
        <f t="shared" si="6"/>
        <v>10000</v>
      </c>
      <c r="I141" s="107" t="s">
        <v>76</v>
      </c>
      <c r="J141" s="78"/>
      <c r="K141" s="121">
        <v>10000</v>
      </c>
      <c r="L141" s="107"/>
      <c r="M141" s="107"/>
      <c r="N141" s="107" t="s">
        <v>76</v>
      </c>
      <c r="O141" s="6"/>
    </row>
    <row r="142" spans="1:15" s="25" customFormat="1" ht="12.75">
      <c r="A142" s="75" t="s">
        <v>226</v>
      </c>
      <c r="B142" s="58"/>
      <c r="C142" s="42" t="s">
        <v>23</v>
      </c>
      <c r="D142" s="42"/>
      <c r="E142" s="42"/>
      <c r="F142" s="42"/>
      <c r="G142" s="42"/>
      <c r="H142" s="125">
        <f t="shared" si="6"/>
        <v>90100</v>
      </c>
      <c r="I142" s="119"/>
      <c r="J142" s="98"/>
      <c r="K142" s="97">
        <f>K143</f>
        <v>90100</v>
      </c>
      <c r="L142" s="119"/>
      <c r="M142" s="119"/>
      <c r="N142" s="119"/>
      <c r="O142" s="6"/>
    </row>
    <row r="143" spans="1:15" s="25" customFormat="1" ht="12.75">
      <c r="A143" s="76" t="s">
        <v>227</v>
      </c>
      <c r="B143" s="57"/>
      <c r="C143" s="9" t="s">
        <v>23</v>
      </c>
      <c r="D143" s="9" t="s">
        <v>228</v>
      </c>
      <c r="E143" s="9" t="s">
        <v>157</v>
      </c>
      <c r="F143" s="9" t="s">
        <v>116</v>
      </c>
      <c r="G143" s="9" t="s">
        <v>115</v>
      </c>
      <c r="H143" s="129">
        <f t="shared" si="6"/>
        <v>90100</v>
      </c>
      <c r="I143" s="107"/>
      <c r="J143" s="26"/>
      <c r="K143" s="78">
        <v>90100</v>
      </c>
      <c r="L143" s="107"/>
      <c r="M143" s="107"/>
      <c r="N143" s="107"/>
      <c r="O143" s="6"/>
    </row>
    <row r="144" spans="1:15" s="25" customFormat="1" ht="12.75" hidden="1">
      <c r="A144" s="77" t="s">
        <v>231</v>
      </c>
      <c r="B144" s="58"/>
      <c r="C144" s="87" t="s">
        <v>230</v>
      </c>
      <c r="D144" s="53"/>
      <c r="E144" s="53"/>
      <c r="F144" s="53"/>
      <c r="G144" s="53"/>
      <c r="H144" s="124">
        <f t="shared" si="6"/>
        <v>0</v>
      </c>
      <c r="I144" s="119"/>
      <c r="J144" s="97"/>
      <c r="K144" s="98">
        <f>K145</f>
        <v>0</v>
      </c>
      <c r="L144" s="119"/>
      <c r="M144" s="119"/>
      <c r="N144" s="119"/>
      <c r="O144" s="6"/>
    </row>
    <row r="145" spans="1:15" s="25" customFormat="1" ht="12.75" hidden="1">
      <c r="A145" s="22" t="s">
        <v>227</v>
      </c>
      <c r="B145" s="57"/>
      <c r="C145" s="9" t="s">
        <v>230</v>
      </c>
      <c r="D145" s="9" t="s">
        <v>81</v>
      </c>
      <c r="E145" s="9" t="s">
        <v>232</v>
      </c>
      <c r="F145" s="9" t="s">
        <v>116</v>
      </c>
      <c r="G145" s="9" t="s">
        <v>115</v>
      </c>
      <c r="H145" s="126">
        <f t="shared" si="6"/>
        <v>0</v>
      </c>
      <c r="I145" s="107"/>
      <c r="J145" s="78"/>
      <c r="K145" s="26"/>
      <c r="L145" s="107"/>
      <c r="M145" s="107"/>
      <c r="N145" s="107"/>
      <c r="O145" s="6"/>
    </row>
    <row r="146" spans="1:15" s="25" customFormat="1" ht="29.25" customHeight="1">
      <c r="A146" s="681" t="s">
        <v>224</v>
      </c>
      <c r="B146" s="682"/>
      <c r="C146" s="27" t="s">
        <v>80</v>
      </c>
      <c r="D146" s="3"/>
      <c r="E146" s="3"/>
      <c r="F146" s="3"/>
      <c r="G146" s="3"/>
      <c r="H146" s="124">
        <f aca="true" t="shared" si="7" ref="H146:H157">N146</f>
        <v>102004.12000000001</v>
      </c>
      <c r="I146" s="119"/>
      <c r="J146" s="119"/>
      <c r="K146" s="119"/>
      <c r="L146" s="119"/>
      <c r="M146" s="119"/>
      <c r="N146" s="97">
        <f>SUM(N147:N157)</f>
        <v>102004.12000000001</v>
      </c>
      <c r="O146" s="6"/>
    </row>
    <row r="147" spans="1:15" s="25" customFormat="1" ht="13.5" customHeight="1" hidden="1">
      <c r="A147" s="45" t="s">
        <v>8</v>
      </c>
      <c r="B147" s="8"/>
      <c r="C147" s="9" t="s">
        <v>80</v>
      </c>
      <c r="D147" s="9" t="s">
        <v>81</v>
      </c>
      <c r="E147" s="9" t="s">
        <v>108</v>
      </c>
      <c r="F147" s="9" t="s">
        <v>128</v>
      </c>
      <c r="G147" s="9" t="s">
        <v>115</v>
      </c>
      <c r="H147" s="126">
        <f t="shared" si="7"/>
        <v>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/>
      <c r="N147" s="122"/>
      <c r="O147" s="6"/>
    </row>
    <row r="148" spans="1:15" s="25" customFormat="1" ht="13.5" customHeight="1" hidden="1">
      <c r="A148" s="22" t="s">
        <v>11</v>
      </c>
      <c r="B148" s="9"/>
      <c r="C148" s="9" t="s">
        <v>80</v>
      </c>
      <c r="D148" s="9" t="s">
        <v>81</v>
      </c>
      <c r="E148" s="9" t="s">
        <v>108</v>
      </c>
      <c r="F148" s="9" t="s">
        <v>121</v>
      </c>
      <c r="G148" s="9" t="s">
        <v>115</v>
      </c>
      <c r="H148" s="126">
        <f t="shared" si="7"/>
        <v>0</v>
      </c>
      <c r="I148" s="107" t="s">
        <v>76</v>
      </c>
      <c r="J148" s="107" t="s">
        <v>76</v>
      </c>
      <c r="K148" s="107" t="s">
        <v>76</v>
      </c>
      <c r="L148" s="107" t="s">
        <v>76</v>
      </c>
      <c r="M148" s="107"/>
      <c r="N148" s="122"/>
      <c r="O148" s="6"/>
    </row>
    <row r="149" spans="1:15" s="25" customFormat="1" ht="13.5" customHeight="1">
      <c r="A149" s="22" t="s">
        <v>11</v>
      </c>
      <c r="B149" s="9"/>
      <c r="C149" s="9" t="s">
        <v>80</v>
      </c>
      <c r="D149" s="9" t="s">
        <v>81</v>
      </c>
      <c r="E149" s="9" t="s">
        <v>218</v>
      </c>
      <c r="F149" s="9" t="s">
        <v>121</v>
      </c>
      <c r="G149" s="9" t="s">
        <v>115</v>
      </c>
      <c r="H149" s="126">
        <f t="shared" si="7"/>
        <v>2815.2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 t="s">
        <v>76</v>
      </c>
      <c r="N149" s="78">
        <v>2815.2</v>
      </c>
      <c r="O149" s="6"/>
    </row>
    <row r="150" spans="1:15" s="25" customFormat="1" ht="13.5" customHeight="1">
      <c r="A150" s="22" t="s">
        <v>12</v>
      </c>
      <c r="B150" s="9"/>
      <c r="C150" s="9" t="s">
        <v>80</v>
      </c>
      <c r="D150" s="9" t="s">
        <v>81</v>
      </c>
      <c r="E150" s="9" t="s">
        <v>218</v>
      </c>
      <c r="F150" s="9" t="s">
        <v>116</v>
      </c>
      <c r="G150" s="9" t="s">
        <v>115</v>
      </c>
      <c r="H150" s="126">
        <f t="shared" si="7"/>
        <v>13427.57</v>
      </c>
      <c r="I150" s="107" t="s">
        <v>76</v>
      </c>
      <c r="J150" s="107"/>
      <c r="K150" s="107" t="s">
        <v>76</v>
      </c>
      <c r="L150" s="107" t="s">
        <v>76</v>
      </c>
      <c r="M150" s="107"/>
      <c r="N150" s="433">
        <v>13427.57</v>
      </c>
      <c r="O150" s="6"/>
    </row>
    <row r="151" spans="1:15" s="25" customFormat="1" ht="13.5" customHeight="1">
      <c r="A151" s="22" t="s">
        <v>362</v>
      </c>
      <c r="B151" s="9"/>
      <c r="C151" s="9" t="s">
        <v>80</v>
      </c>
      <c r="D151" s="9" t="s">
        <v>81</v>
      </c>
      <c r="E151" s="9" t="s">
        <v>218</v>
      </c>
      <c r="F151" s="9" t="s">
        <v>361</v>
      </c>
      <c r="G151" s="9" t="s">
        <v>115</v>
      </c>
      <c r="H151" s="126">
        <f t="shared" si="7"/>
        <v>3408.3</v>
      </c>
      <c r="I151" s="107"/>
      <c r="J151" s="107"/>
      <c r="K151" s="107"/>
      <c r="L151" s="107"/>
      <c r="M151" s="107"/>
      <c r="N151" s="433">
        <v>3408.3</v>
      </c>
      <c r="O151" s="6"/>
    </row>
    <row r="152" spans="1:15" s="25" customFormat="1" ht="13.5" customHeight="1">
      <c r="A152" s="22" t="s">
        <v>12</v>
      </c>
      <c r="B152" s="9"/>
      <c r="C152" s="9" t="s">
        <v>80</v>
      </c>
      <c r="D152" s="9" t="s">
        <v>81</v>
      </c>
      <c r="E152" s="9" t="s">
        <v>108</v>
      </c>
      <c r="F152" s="9" t="s">
        <v>116</v>
      </c>
      <c r="G152" s="9" t="s">
        <v>115</v>
      </c>
      <c r="H152" s="126">
        <f t="shared" si="7"/>
        <v>30000</v>
      </c>
      <c r="I152" s="107" t="s">
        <v>76</v>
      </c>
      <c r="J152" s="107" t="s">
        <v>76</v>
      </c>
      <c r="K152" s="107" t="s">
        <v>76</v>
      </c>
      <c r="L152" s="107" t="s">
        <v>76</v>
      </c>
      <c r="M152" s="107" t="s">
        <v>76</v>
      </c>
      <c r="N152" s="78">
        <v>30000</v>
      </c>
      <c r="O152" s="6"/>
    </row>
    <row r="153" spans="1:15" s="25" customFormat="1" ht="13.5" customHeight="1">
      <c r="A153" s="22" t="s">
        <v>14</v>
      </c>
      <c r="B153" s="9"/>
      <c r="C153" s="9" t="s">
        <v>80</v>
      </c>
      <c r="D153" s="9" t="s">
        <v>81</v>
      </c>
      <c r="E153" s="9" t="s">
        <v>108</v>
      </c>
      <c r="F153" s="9" t="s">
        <v>118</v>
      </c>
      <c r="G153" s="9" t="s">
        <v>115</v>
      </c>
      <c r="H153" s="126">
        <f t="shared" si="7"/>
        <v>35000</v>
      </c>
      <c r="I153" s="107" t="s">
        <v>76</v>
      </c>
      <c r="J153" s="107" t="s">
        <v>76</v>
      </c>
      <c r="K153" s="107" t="s">
        <v>76</v>
      </c>
      <c r="L153" s="107" t="s">
        <v>76</v>
      </c>
      <c r="M153" s="107"/>
      <c r="N153" s="122">
        <v>35000</v>
      </c>
      <c r="O153" s="6"/>
    </row>
    <row r="154" spans="1:15" s="25" customFormat="1" ht="13.5" customHeight="1">
      <c r="A154" s="22" t="s">
        <v>463</v>
      </c>
      <c r="B154" s="9"/>
      <c r="C154" s="9" t="s">
        <v>80</v>
      </c>
      <c r="D154" s="9" t="s">
        <v>81</v>
      </c>
      <c r="E154" s="9" t="s">
        <v>108</v>
      </c>
      <c r="F154" s="9" t="s">
        <v>118</v>
      </c>
      <c r="G154" s="9" t="s">
        <v>115</v>
      </c>
      <c r="H154" s="126">
        <f t="shared" si="7"/>
        <v>2504.12</v>
      </c>
      <c r="I154" s="107" t="s">
        <v>76</v>
      </c>
      <c r="J154" s="107" t="s">
        <v>76</v>
      </c>
      <c r="K154" s="107" t="s">
        <v>76</v>
      </c>
      <c r="L154" s="107"/>
      <c r="M154" s="107"/>
      <c r="N154" s="122">
        <v>2504.12</v>
      </c>
      <c r="O154" s="6"/>
    </row>
    <row r="155" spans="1:15" s="25" customFormat="1" ht="39" customHeight="1">
      <c r="A155" s="22" t="s">
        <v>363</v>
      </c>
      <c r="B155" s="9"/>
      <c r="C155" s="9" t="s">
        <v>80</v>
      </c>
      <c r="D155" s="9" t="s">
        <v>81</v>
      </c>
      <c r="E155" s="9" t="s">
        <v>218</v>
      </c>
      <c r="F155" s="9" t="s">
        <v>240</v>
      </c>
      <c r="G155" s="9" t="s">
        <v>115</v>
      </c>
      <c r="H155" s="126">
        <f t="shared" si="7"/>
        <v>3937.5</v>
      </c>
      <c r="I155" s="107" t="s">
        <v>76</v>
      </c>
      <c r="J155" s="107"/>
      <c r="K155" s="107" t="s">
        <v>76</v>
      </c>
      <c r="L155" s="107" t="s">
        <v>76</v>
      </c>
      <c r="M155" s="107"/>
      <c r="N155" s="99">
        <v>3937.5</v>
      </c>
      <c r="O155" s="6"/>
    </row>
    <row r="156" spans="1:15" s="25" customFormat="1" ht="30.75" customHeight="1">
      <c r="A156" s="431" t="s">
        <v>364</v>
      </c>
      <c r="B156" s="20"/>
      <c r="C156" s="9" t="s">
        <v>80</v>
      </c>
      <c r="D156" s="9" t="s">
        <v>81</v>
      </c>
      <c r="E156" s="9" t="s">
        <v>218</v>
      </c>
      <c r="F156" s="9" t="s">
        <v>242</v>
      </c>
      <c r="G156" s="9" t="s">
        <v>115</v>
      </c>
      <c r="H156" s="126">
        <f t="shared" si="7"/>
        <v>7087.63</v>
      </c>
      <c r="I156" s="107" t="s">
        <v>76</v>
      </c>
      <c r="J156" s="108"/>
      <c r="K156" s="107" t="s">
        <v>76</v>
      </c>
      <c r="L156" s="108"/>
      <c r="M156" s="108"/>
      <c r="N156" s="78">
        <v>7087.63</v>
      </c>
      <c r="O156" s="6"/>
    </row>
    <row r="157" spans="1:15" s="25" customFormat="1" ht="30.75" customHeight="1">
      <c r="A157" s="431" t="s">
        <v>243</v>
      </c>
      <c r="B157" s="20"/>
      <c r="C157" s="9" t="s">
        <v>80</v>
      </c>
      <c r="D157" s="9" t="s">
        <v>81</v>
      </c>
      <c r="E157" s="9" t="s">
        <v>218</v>
      </c>
      <c r="F157" s="9" t="s">
        <v>244</v>
      </c>
      <c r="G157" s="9" t="s">
        <v>115</v>
      </c>
      <c r="H157" s="126">
        <f t="shared" si="7"/>
        <v>3823.8</v>
      </c>
      <c r="I157" s="107"/>
      <c r="J157" s="108"/>
      <c r="K157" s="107"/>
      <c r="L157" s="108"/>
      <c r="M157" s="108"/>
      <c r="N157" s="78">
        <v>3823.8</v>
      </c>
      <c r="O157" s="6"/>
    </row>
    <row r="158" spans="1:15" s="25" customFormat="1" ht="27">
      <c r="A158" s="96" t="s">
        <v>129</v>
      </c>
      <c r="B158" s="32" t="s">
        <v>130</v>
      </c>
      <c r="C158" s="33" t="s">
        <v>76</v>
      </c>
      <c r="D158" s="33" t="s">
        <v>76</v>
      </c>
      <c r="E158" s="33" t="s">
        <v>76</v>
      </c>
      <c r="F158" s="33" t="s">
        <v>76</v>
      </c>
      <c r="G158" s="33" t="s">
        <v>76</v>
      </c>
      <c r="H158" s="130">
        <f>I158+N158+K158</f>
        <v>16857034</v>
      </c>
      <c r="I158" s="130">
        <f>I57+I61+I91+I92+I59+I74+I60</f>
        <v>16847034</v>
      </c>
      <c r="J158" s="130"/>
      <c r="K158" s="130">
        <f>K141</f>
        <v>10000</v>
      </c>
      <c r="L158" s="134" t="s">
        <v>76</v>
      </c>
      <c r="M158" s="134" t="s">
        <v>76</v>
      </c>
      <c r="N158" s="130"/>
      <c r="O158" s="6" t="s">
        <v>76</v>
      </c>
    </row>
    <row r="159" spans="1:15" s="25" customFormat="1" ht="27">
      <c r="A159" s="96" t="s">
        <v>131</v>
      </c>
      <c r="B159" s="32" t="s">
        <v>132</v>
      </c>
      <c r="C159" s="33" t="s">
        <v>76</v>
      </c>
      <c r="D159" s="33" t="s">
        <v>76</v>
      </c>
      <c r="E159" s="33" t="s">
        <v>76</v>
      </c>
      <c r="F159" s="33" t="s">
        <v>76</v>
      </c>
      <c r="G159" s="33" t="s">
        <v>76</v>
      </c>
      <c r="H159" s="130">
        <f>H161+H160</f>
        <v>7381472.420000001</v>
      </c>
      <c r="I159" s="130">
        <f>I161+I160</f>
        <v>4955929.600000001</v>
      </c>
      <c r="J159" s="130">
        <f>J161+J160</f>
        <v>0</v>
      </c>
      <c r="K159" s="130">
        <f>K161+K160</f>
        <v>2323538.7</v>
      </c>
      <c r="L159" s="134"/>
      <c r="M159" s="134"/>
      <c r="N159" s="130">
        <f>N161+N160</f>
        <v>102004.12</v>
      </c>
      <c r="O159" s="6"/>
    </row>
    <row r="160" spans="1:15" s="25" customFormat="1" ht="24" customHeight="1">
      <c r="A160" s="96" t="s">
        <v>133</v>
      </c>
      <c r="B160" s="32" t="s">
        <v>134</v>
      </c>
      <c r="C160" s="33" t="s">
        <v>76</v>
      </c>
      <c r="D160" s="33" t="s">
        <v>76</v>
      </c>
      <c r="E160" s="33" t="s">
        <v>76</v>
      </c>
      <c r="F160" s="33" t="s">
        <v>76</v>
      </c>
      <c r="G160" s="33" t="s">
        <v>76</v>
      </c>
      <c r="H160" s="130">
        <f>I160+N160+K160</f>
        <v>0</v>
      </c>
      <c r="I160" s="130"/>
      <c r="J160" s="130"/>
      <c r="K160" s="130">
        <v>0</v>
      </c>
      <c r="L160" s="134"/>
      <c r="M160" s="134"/>
      <c r="N160" s="130">
        <v>0</v>
      </c>
      <c r="O160" s="6"/>
    </row>
    <row r="161" spans="1:15" s="25" customFormat="1" ht="12.75" customHeight="1">
      <c r="A161" s="96" t="s">
        <v>135</v>
      </c>
      <c r="B161" s="32" t="s">
        <v>136</v>
      </c>
      <c r="C161" s="33" t="s">
        <v>76</v>
      </c>
      <c r="D161" s="33" t="s">
        <v>76</v>
      </c>
      <c r="E161" s="33" t="s">
        <v>76</v>
      </c>
      <c r="F161" s="33" t="s">
        <v>76</v>
      </c>
      <c r="G161" s="33" t="s">
        <v>76</v>
      </c>
      <c r="H161" s="130">
        <f>I161+N161+K161</f>
        <v>7381472.420000001</v>
      </c>
      <c r="I161" s="130">
        <f>I63+I68+I69+I70+I71+I76+I82+I83+I85+I87+I88+I89+I90+I101+I96+I97+I77+I78+I80+I81+I98+I86+I73+I79</f>
        <v>4955929.600000001</v>
      </c>
      <c r="J161" s="130"/>
      <c r="K161" s="130">
        <f>K105+K109+K138+K139+K123+K124+K125+K131+K133+K117+K118+K119+K120+K116+K143+K145+K130+K126+K127+K128+K111+K112++K113+K114</f>
        <v>2323538.7</v>
      </c>
      <c r="L161" s="134" t="s">
        <v>76</v>
      </c>
      <c r="M161" s="134" t="s">
        <v>76</v>
      </c>
      <c r="N161" s="130">
        <f>N147+N148+N150+N153+N155+N149+N152+N156+N151+N157+N154</f>
        <v>102004.12</v>
      </c>
      <c r="O161" s="6" t="s">
        <v>76</v>
      </c>
    </row>
    <row r="162" spans="1:15" s="25" customFormat="1" ht="13.5" hidden="1">
      <c r="A162" s="8" t="s">
        <v>137</v>
      </c>
      <c r="B162" s="9" t="s">
        <v>138</v>
      </c>
      <c r="C162" s="34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126">
        <f>I162+N162</f>
        <v>0</v>
      </c>
      <c r="I162" s="126">
        <v>0</v>
      </c>
      <c r="J162" s="126"/>
      <c r="K162" s="126"/>
      <c r="L162" s="135" t="s">
        <v>76</v>
      </c>
      <c r="M162" s="135" t="s">
        <v>76</v>
      </c>
      <c r="N162" s="126">
        <v>0</v>
      </c>
      <c r="O162" s="6" t="s">
        <v>76</v>
      </c>
    </row>
    <row r="163" spans="1:15" s="25" customFormat="1" ht="13.5" hidden="1">
      <c r="A163" s="20" t="s">
        <v>139</v>
      </c>
      <c r="B163" s="9" t="s">
        <v>118</v>
      </c>
      <c r="C163" s="34" t="s">
        <v>76</v>
      </c>
      <c r="D163" s="34" t="s">
        <v>76</v>
      </c>
      <c r="E163" s="34" t="s">
        <v>76</v>
      </c>
      <c r="F163" s="34" t="s">
        <v>76</v>
      </c>
      <c r="G163" s="34" t="s">
        <v>76</v>
      </c>
      <c r="H163" s="126">
        <v>0</v>
      </c>
      <c r="I163" s="126">
        <v>0</v>
      </c>
      <c r="J163" s="126"/>
      <c r="K163" s="126"/>
      <c r="L163" s="135" t="s">
        <v>76</v>
      </c>
      <c r="M163" s="135" t="s">
        <v>76</v>
      </c>
      <c r="N163" s="126">
        <v>0</v>
      </c>
      <c r="O163" s="6" t="s">
        <v>76</v>
      </c>
    </row>
    <row r="164" spans="1:15" s="25" customFormat="1" ht="13.5" hidden="1">
      <c r="A164" s="20" t="s">
        <v>140</v>
      </c>
      <c r="B164" s="9" t="s">
        <v>141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5" spans="1:15" s="25" customFormat="1" ht="13.5" hidden="1">
      <c r="A165" s="20" t="s">
        <v>142</v>
      </c>
      <c r="B165" s="9" t="s">
        <v>143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6" spans="1:15" s="25" customFormat="1" ht="13.5" hidden="1">
      <c r="A166" s="20" t="s">
        <v>144</v>
      </c>
      <c r="B166" s="9" t="s">
        <v>145</v>
      </c>
      <c r="C166" s="34" t="s">
        <v>76</v>
      </c>
      <c r="D166" s="34" t="s">
        <v>76</v>
      </c>
      <c r="E166" s="34" t="s">
        <v>76</v>
      </c>
      <c r="F166" s="34" t="s">
        <v>76</v>
      </c>
      <c r="G166" s="34" t="s">
        <v>76</v>
      </c>
      <c r="H166" s="126">
        <v>0</v>
      </c>
      <c r="I166" s="126">
        <v>0</v>
      </c>
      <c r="J166" s="126"/>
      <c r="K166" s="126"/>
      <c r="L166" s="135" t="s">
        <v>76</v>
      </c>
      <c r="M166" s="135" t="s">
        <v>76</v>
      </c>
      <c r="N166" s="126">
        <v>0</v>
      </c>
      <c r="O166" s="6" t="s">
        <v>76</v>
      </c>
    </row>
    <row r="167" spans="1:15" s="25" customFormat="1" ht="13.5" hidden="1">
      <c r="A167" s="20" t="s">
        <v>146</v>
      </c>
      <c r="B167" s="9" t="s">
        <v>147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8" spans="1:15" s="25" customFormat="1" ht="13.5">
      <c r="A168" s="48" t="s">
        <v>137</v>
      </c>
      <c r="B168" s="49" t="s">
        <v>138</v>
      </c>
      <c r="C168" s="50" t="s">
        <v>173</v>
      </c>
      <c r="D168" s="49" t="s">
        <v>81</v>
      </c>
      <c r="E168" s="50" t="s">
        <v>174</v>
      </c>
      <c r="F168" s="50" t="s">
        <v>174</v>
      </c>
      <c r="G168" s="50" t="s">
        <v>175</v>
      </c>
      <c r="H168" s="132">
        <v>28653.9</v>
      </c>
      <c r="I168" s="136"/>
      <c r="J168" s="136"/>
      <c r="K168" s="136"/>
      <c r="L168" s="137"/>
      <c r="M168" s="137"/>
      <c r="N168" s="136"/>
      <c r="O168" s="6"/>
    </row>
    <row r="169" spans="1:15" s="25" customFormat="1" ht="13.5">
      <c r="A169" s="51" t="s">
        <v>142</v>
      </c>
      <c r="B169" s="49" t="s">
        <v>143</v>
      </c>
      <c r="C169" s="50" t="s">
        <v>173</v>
      </c>
      <c r="D169" s="49" t="s">
        <v>81</v>
      </c>
      <c r="E169" s="50" t="s">
        <v>174</v>
      </c>
      <c r="F169" s="50" t="s">
        <v>174</v>
      </c>
      <c r="G169" s="50" t="s">
        <v>176</v>
      </c>
      <c r="H169" s="132">
        <v>28653.9</v>
      </c>
      <c r="I169" s="136"/>
      <c r="J169" s="136"/>
      <c r="K169" s="136"/>
      <c r="L169" s="137"/>
      <c r="M169" s="137"/>
      <c r="N169" s="136"/>
      <c r="O169" s="6"/>
    </row>
    <row r="170" spans="1:15" s="25" customFormat="1" ht="13.5">
      <c r="A170" s="35" t="s">
        <v>148</v>
      </c>
      <c r="B170" s="36" t="s">
        <v>149</v>
      </c>
      <c r="C170" s="37" t="s">
        <v>76</v>
      </c>
      <c r="D170" s="37" t="s">
        <v>76</v>
      </c>
      <c r="E170" s="37" t="s">
        <v>76</v>
      </c>
      <c r="F170" s="37" t="s">
        <v>76</v>
      </c>
      <c r="G170" s="37" t="s">
        <v>76</v>
      </c>
      <c r="H170" s="133">
        <f>I170+K170+N170</f>
        <v>0</v>
      </c>
      <c r="I170" s="133">
        <v>0</v>
      </c>
      <c r="J170" s="133"/>
      <c r="K170" s="133"/>
      <c r="L170" s="138" t="s">
        <v>76</v>
      </c>
      <c r="M170" s="138" t="s">
        <v>76</v>
      </c>
      <c r="N170" s="133"/>
      <c r="O170" s="6" t="s">
        <v>76</v>
      </c>
    </row>
    <row r="171" spans="1:15" s="25" customFormat="1" ht="13.5">
      <c r="A171" s="20" t="s">
        <v>150</v>
      </c>
      <c r="B171" s="9" t="s">
        <v>151</v>
      </c>
      <c r="C171" s="34" t="s">
        <v>76</v>
      </c>
      <c r="D171" s="34" t="s">
        <v>76</v>
      </c>
      <c r="E171" s="34" t="s">
        <v>76</v>
      </c>
      <c r="F171" s="34" t="s">
        <v>76</v>
      </c>
      <c r="G171" s="34" t="s">
        <v>76</v>
      </c>
      <c r="H171" s="126">
        <v>0</v>
      </c>
      <c r="I171" s="126">
        <v>0</v>
      </c>
      <c r="J171" s="126"/>
      <c r="K171" s="126"/>
      <c r="L171" s="135" t="s">
        <v>76</v>
      </c>
      <c r="M171" s="135" t="s">
        <v>76</v>
      </c>
      <c r="N171" s="126">
        <v>0</v>
      </c>
      <c r="O171" s="6" t="s">
        <v>76</v>
      </c>
    </row>
    <row r="173" ht="12.75">
      <c r="A173" s="88" t="s">
        <v>271</v>
      </c>
    </row>
    <row r="174" ht="12.75">
      <c r="A174" s="88"/>
    </row>
    <row r="175" ht="19.5" customHeight="1">
      <c r="A175" s="88" t="s">
        <v>17</v>
      </c>
    </row>
    <row r="176" ht="12.75">
      <c r="A176" s="88" t="s">
        <v>272</v>
      </c>
    </row>
    <row r="177" ht="12.75">
      <c r="A177" s="88"/>
    </row>
    <row r="178" ht="13.5" customHeight="1">
      <c r="A178" s="89"/>
    </row>
    <row r="179" ht="13.5" customHeight="1">
      <c r="A179" s="89"/>
    </row>
    <row r="180" ht="12.75" customHeight="1">
      <c r="A180" s="89"/>
    </row>
    <row r="181" ht="12.75" customHeight="1">
      <c r="A181" s="89"/>
    </row>
    <row r="182" ht="12.75" customHeight="1">
      <c r="A182" s="89"/>
    </row>
    <row r="183" ht="12.75" customHeight="1">
      <c r="A183" s="89"/>
    </row>
    <row r="184" ht="12.75" customHeight="1">
      <c r="A184" s="89"/>
    </row>
    <row r="185" ht="12.75" customHeight="1">
      <c r="A185" s="89"/>
    </row>
    <row r="186" ht="12.75" customHeight="1">
      <c r="A186" s="89"/>
    </row>
  </sheetData>
  <sheetProtection/>
  <mergeCells count="88">
    <mergeCell ref="G123:G125"/>
    <mergeCell ref="A132:B132"/>
    <mergeCell ref="G130:G131"/>
    <mergeCell ref="A130:A131"/>
    <mergeCell ref="C123:C125"/>
    <mergeCell ref="E123:E125"/>
    <mergeCell ref="F123:F125"/>
    <mergeCell ref="C130:C131"/>
    <mergeCell ref="E130:E131"/>
    <mergeCell ref="A115:B115"/>
    <mergeCell ref="A121:B121"/>
    <mergeCell ref="A123:A125"/>
    <mergeCell ref="A137:B137"/>
    <mergeCell ref="A146:B146"/>
    <mergeCell ref="F130:F131"/>
    <mergeCell ref="A135:B135"/>
    <mergeCell ref="C89:C90"/>
    <mergeCell ref="E89:E90"/>
    <mergeCell ref="F89:F90"/>
    <mergeCell ref="A102:B102"/>
    <mergeCell ref="A106:B106"/>
    <mergeCell ref="A110:B110"/>
    <mergeCell ref="F82:F83"/>
    <mergeCell ref="G87:G88"/>
    <mergeCell ref="G59:G60"/>
    <mergeCell ref="G82:G83"/>
    <mergeCell ref="G89:G90"/>
    <mergeCell ref="A87:A88"/>
    <mergeCell ref="C87:C88"/>
    <mergeCell ref="E87:E88"/>
    <mergeCell ref="F87:F88"/>
    <mergeCell ref="A89:A90"/>
    <mergeCell ref="A84:B84"/>
    <mergeCell ref="A70:A71"/>
    <mergeCell ref="C70:C71"/>
    <mergeCell ref="E70:E71"/>
    <mergeCell ref="F70:F71"/>
    <mergeCell ref="G70:G71"/>
    <mergeCell ref="E76:E77"/>
    <mergeCell ref="A82:A83"/>
    <mergeCell ref="C82:C83"/>
    <mergeCell ref="E82:E83"/>
    <mergeCell ref="C59:C60"/>
    <mergeCell ref="F59:F60"/>
    <mergeCell ref="D30:D31"/>
    <mergeCell ref="F32:F36"/>
    <mergeCell ref="A37:A40"/>
    <mergeCell ref="C37:C40"/>
    <mergeCell ref="A30:A36"/>
    <mergeCell ref="C30:C31"/>
    <mergeCell ref="A63:A68"/>
    <mergeCell ref="C63:C68"/>
    <mergeCell ref="F63:F68"/>
    <mergeCell ref="A41:A43"/>
    <mergeCell ref="C41:C43"/>
    <mergeCell ref="F41:F43"/>
    <mergeCell ref="A46:A47"/>
    <mergeCell ref="C46:C47"/>
    <mergeCell ref="F46:F47"/>
    <mergeCell ref="A56:B56"/>
    <mergeCell ref="B16:B23"/>
    <mergeCell ref="J16:J17"/>
    <mergeCell ref="A17:A18"/>
    <mergeCell ref="C17:C18"/>
    <mergeCell ref="G17:G18"/>
    <mergeCell ref="A19:A23"/>
    <mergeCell ref="C19:C23"/>
    <mergeCell ref="F19:F23"/>
    <mergeCell ref="E17:E18"/>
    <mergeCell ref="F17:F18"/>
    <mergeCell ref="A1:O1"/>
    <mergeCell ref="B2:M2"/>
    <mergeCell ref="N2:O2"/>
    <mergeCell ref="A4:A6"/>
    <mergeCell ref="B4:B6"/>
    <mergeCell ref="C4:C6"/>
    <mergeCell ref="H4:O4"/>
    <mergeCell ref="H5:H6"/>
    <mergeCell ref="I5:O5"/>
    <mergeCell ref="N6:O6"/>
    <mergeCell ref="F4:F6"/>
    <mergeCell ref="G4:G6"/>
    <mergeCell ref="B10:B15"/>
    <mergeCell ref="C11:C13"/>
    <mergeCell ref="E11:E13"/>
    <mergeCell ref="F11:F13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view="pageBreakPreview" zoomScale="115" zoomScaleSheetLayoutView="115" zoomScalePageLayoutView="0" workbookViewId="0" topLeftCell="A79">
      <selection activeCell="A116" sqref="A116:B116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515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23" t="s">
        <v>74</v>
      </c>
      <c r="B9" s="24" t="s">
        <v>75</v>
      </c>
      <c r="C9" s="24" t="s">
        <v>76</v>
      </c>
      <c r="D9" s="556" t="s">
        <v>76</v>
      </c>
      <c r="E9" s="556" t="s">
        <v>76</v>
      </c>
      <c r="F9" s="556" t="s">
        <v>76</v>
      </c>
      <c r="G9" s="556" t="s">
        <v>76</v>
      </c>
      <c r="H9" s="130">
        <f>H10+H16+H24</f>
        <v>24922972.54</v>
      </c>
      <c r="I9" s="130">
        <f>I16</f>
        <v>21886043</v>
      </c>
      <c r="J9" s="130"/>
      <c r="K9" s="130">
        <f>K24</f>
        <v>2944310.7</v>
      </c>
      <c r="L9" s="557" t="s">
        <v>76</v>
      </c>
      <c r="M9" s="557" t="s">
        <v>76</v>
      </c>
      <c r="N9" s="130">
        <f>N10</f>
        <v>92618.84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92618.84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92618.84</v>
      </c>
      <c r="O10" s="7" t="s">
        <v>76</v>
      </c>
    </row>
    <row r="11" spans="1:15" ht="25.5" hidden="1">
      <c r="A11" s="8" t="s">
        <v>79</v>
      </c>
      <c r="B11" s="695"/>
      <c r="C11" s="774" t="s">
        <v>80</v>
      </c>
      <c r="D11" s="9" t="s">
        <v>81</v>
      </c>
      <c r="E11" s="782"/>
      <c r="F11" s="774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781"/>
      <c r="D12" s="9" t="s">
        <v>81</v>
      </c>
      <c r="E12" s="783"/>
      <c r="F12" s="781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775"/>
      <c r="D13" s="398" t="s">
        <v>81</v>
      </c>
      <c r="E13" s="784"/>
      <c r="F13" s="775"/>
      <c r="G13" s="9"/>
      <c r="H13" s="399">
        <f t="shared" si="0"/>
        <v>20614.72</v>
      </c>
      <c r="I13" s="403" t="s">
        <v>76</v>
      </c>
      <c r="J13" s="403"/>
      <c r="K13" s="403" t="s">
        <v>76</v>
      </c>
      <c r="L13" s="403"/>
      <c r="M13" s="403"/>
      <c r="N13" s="404">
        <f>30000-9385.28</f>
        <v>20614.72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21886043</v>
      </c>
      <c r="I16" s="78">
        <f>I17+I19+I20+I18+I23</f>
        <v>21886043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17498704</v>
      </c>
      <c r="I18" s="359">
        <f>16689500+661600+147604</f>
        <v>17498704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774" t="s">
        <v>20</v>
      </c>
      <c r="D19" s="398" t="s">
        <v>81</v>
      </c>
      <c r="E19" s="15"/>
      <c r="F19" s="785">
        <v>131</v>
      </c>
      <c r="G19" s="9"/>
      <c r="H19" s="399">
        <f t="shared" si="1"/>
        <v>1424239</v>
      </c>
      <c r="I19" s="575">
        <f>1543600-149361+30000</f>
        <v>1424239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781"/>
      <c r="D20" s="7"/>
      <c r="E20" s="15"/>
      <c r="F20" s="786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781"/>
      <c r="D21" s="15"/>
      <c r="E21" s="9"/>
      <c r="F21" s="786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781"/>
      <c r="D22" s="15"/>
      <c r="E22" s="9"/>
      <c r="F22" s="786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775"/>
      <c r="D23" s="14">
        <v>14130030000000000</v>
      </c>
      <c r="E23" s="9"/>
      <c r="F23" s="787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23.25" customHeight="1">
      <c r="A24" s="555" t="s">
        <v>87</v>
      </c>
      <c r="B24" s="44" t="s">
        <v>88</v>
      </c>
      <c r="C24" s="44" t="s">
        <v>76</v>
      </c>
      <c r="D24" s="44" t="s">
        <v>76</v>
      </c>
      <c r="E24" s="44" t="s">
        <v>76</v>
      </c>
      <c r="F24" s="44" t="s">
        <v>76</v>
      </c>
      <c r="G24" s="44" t="s">
        <v>76</v>
      </c>
      <c r="H24" s="131">
        <f>K24</f>
        <v>2944310.7</v>
      </c>
      <c r="I24" s="111" t="s">
        <v>76</v>
      </c>
      <c r="J24" s="110"/>
      <c r="K24" s="110">
        <f>SUM(K25:K50)</f>
        <v>2944310.7</v>
      </c>
      <c r="L24" s="111" t="s">
        <v>76</v>
      </c>
      <c r="M24" s="111" t="s">
        <v>76</v>
      </c>
      <c r="N24" s="111" t="s">
        <v>76</v>
      </c>
      <c r="O24" s="7" t="s">
        <v>76</v>
      </c>
    </row>
    <row r="25" spans="1:16" ht="69" customHeight="1">
      <c r="A25" s="81" t="s">
        <v>45</v>
      </c>
      <c r="B25" s="6"/>
      <c r="C25" s="580" t="s">
        <v>21</v>
      </c>
      <c r="D25" s="581" t="s">
        <v>89</v>
      </c>
      <c r="E25" s="574"/>
      <c r="F25" s="574" t="s">
        <v>284</v>
      </c>
      <c r="G25" s="574"/>
      <c r="H25" s="578">
        <f>K25</f>
        <v>687276</v>
      </c>
      <c r="I25" s="400" t="s">
        <v>76</v>
      </c>
      <c r="J25" s="579"/>
      <c r="K25" s="577">
        <f>676900-23560+30400+3536</f>
        <v>687276</v>
      </c>
      <c r="L25" s="107" t="s">
        <v>76</v>
      </c>
      <c r="M25" s="107" t="s">
        <v>76</v>
      </c>
      <c r="N25" s="107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2"/>
      <c r="C29" s="17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15" customHeight="1">
      <c r="A30" s="699" t="s">
        <v>280</v>
      </c>
      <c r="B30" s="62"/>
      <c r="C30" s="776" t="s">
        <v>50</v>
      </c>
      <c r="D30" s="774" t="s">
        <v>81</v>
      </c>
      <c r="E30" s="9"/>
      <c r="F30" s="553" t="s">
        <v>501</v>
      </c>
      <c r="G30" s="398"/>
      <c r="H30" s="399">
        <f>K30</f>
        <v>144673</v>
      </c>
      <c r="I30" s="400"/>
      <c r="J30" s="554"/>
      <c r="K30" s="397">
        <f>24673+120000</f>
        <v>144673</v>
      </c>
      <c r="L30" s="323"/>
      <c r="M30" s="323"/>
      <c r="N30" s="107" t="s">
        <v>76</v>
      </c>
      <c r="O30" s="7"/>
    </row>
    <row r="31" spans="1:15" ht="15" customHeight="1">
      <c r="A31" s="700"/>
      <c r="B31" s="62"/>
      <c r="C31" s="777"/>
      <c r="D31" s="775"/>
      <c r="E31" s="392"/>
      <c r="F31" s="6" t="s">
        <v>284</v>
      </c>
      <c r="G31" s="9"/>
      <c r="H31" s="126">
        <f>K31</f>
        <v>80000</v>
      </c>
      <c r="I31" s="107"/>
      <c r="J31" s="322"/>
      <c r="K31" s="78">
        <v>80000</v>
      </c>
      <c r="L31" s="323"/>
      <c r="M31" s="323"/>
      <c r="N31" s="107" t="s">
        <v>76</v>
      </c>
      <c r="O31" s="7"/>
    </row>
    <row r="32" spans="1:15" ht="21" customHeight="1" hidden="1">
      <c r="A32" s="700"/>
      <c r="B32" s="62"/>
      <c r="C32" s="17" t="s">
        <v>50</v>
      </c>
      <c r="D32" s="393" t="s">
        <v>332</v>
      </c>
      <c r="E32" s="20"/>
      <c r="F32" s="695" t="s">
        <v>284</v>
      </c>
      <c r="G32" s="9"/>
      <c r="H32" s="25"/>
      <c r="I32" s="107" t="s">
        <v>76</v>
      </c>
      <c r="J32" s="108"/>
      <c r="K32" s="109"/>
      <c r="L32" s="108"/>
      <c r="M32" s="108"/>
      <c r="N32" s="107" t="s">
        <v>76</v>
      </c>
      <c r="O32" s="7"/>
    </row>
    <row r="33" spans="1:15" ht="12.75" customHeight="1" hidden="1">
      <c r="A33" s="700"/>
      <c r="B33" s="62"/>
      <c r="C33" s="17" t="s">
        <v>50</v>
      </c>
      <c r="D33" s="393" t="s">
        <v>214</v>
      </c>
      <c r="E33" s="9"/>
      <c r="F33" s="695"/>
      <c r="G33" s="9"/>
      <c r="H33" s="126">
        <f aca="true" t="shared" si="2" ref="H33:H50">K33</f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2"/>
      <c r="C34" s="17" t="s">
        <v>50</v>
      </c>
      <c r="D34" s="393" t="s">
        <v>333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0"/>
      <c r="B35" s="62"/>
      <c r="C35" s="17" t="s">
        <v>50</v>
      </c>
      <c r="D35" s="393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 hidden="1">
      <c r="A36" s="701"/>
      <c r="B36" s="62"/>
      <c r="C36" s="17" t="s">
        <v>50</v>
      </c>
      <c r="D36" s="9" t="s">
        <v>216</v>
      </c>
      <c r="E36" s="9"/>
      <c r="F36" s="695"/>
      <c r="G36" s="9"/>
      <c r="H36" s="126">
        <f t="shared" si="2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customHeight="1">
      <c r="A37" s="741" t="s">
        <v>372</v>
      </c>
      <c r="B37" s="60"/>
      <c r="C37" s="693" t="s">
        <v>373</v>
      </c>
      <c r="D37" s="434" t="s">
        <v>332</v>
      </c>
      <c r="E37" s="9"/>
      <c r="F37" s="6" t="s">
        <v>284</v>
      </c>
      <c r="G37" s="9"/>
      <c r="H37" s="126">
        <f t="shared" si="2"/>
        <v>43200</v>
      </c>
      <c r="I37" s="107"/>
      <c r="J37" s="78"/>
      <c r="K37" s="78">
        <v>43200</v>
      </c>
      <c r="L37" s="26"/>
      <c r="M37" s="26"/>
      <c r="N37" s="107" t="s">
        <v>76</v>
      </c>
      <c r="O37" s="7"/>
    </row>
    <row r="38" spans="1:15" ht="12.75" customHeight="1">
      <c r="A38" s="742"/>
      <c r="B38" s="60"/>
      <c r="C38" s="697"/>
      <c r="D38" s="434" t="s">
        <v>214</v>
      </c>
      <c r="E38" s="9"/>
      <c r="F38" s="6" t="s">
        <v>284</v>
      </c>
      <c r="G38" s="9"/>
      <c r="H38" s="126">
        <f t="shared" si="2"/>
        <v>4800</v>
      </c>
      <c r="I38" s="107"/>
      <c r="J38" s="78"/>
      <c r="K38" s="78">
        <v>4800</v>
      </c>
      <c r="L38" s="26"/>
      <c r="M38" s="26"/>
      <c r="N38" s="107" t="s">
        <v>76</v>
      </c>
      <c r="O38" s="7"/>
    </row>
    <row r="39" spans="1:15" ht="12.75" customHeight="1">
      <c r="A39" s="742"/>
      <c r="B39" s="60"/>
      <c r="C39" s="697"/>
      <c r="D39" s="434" t="s">
        <v>333</v>
      </c>
      <c r="E39" s="9"/>
      <c r="F39" s="6" t="s">
        <v>284</v>
      </c>
      <c r="G39" s="9"/>
      <c r="H39" s="126">
        <f t="shared" si="2"/>
        <v>10800</v>
      </c>
      <c r="I39" s="107"/>
      <c r="J39" s="78"/>
      <c r="K39" s="78">
        <v>10800</v>
      </c>
      <c r="L39" s="26"/>
      <c r="M39" s="26"/>
      <c r="N39" s="107" t="s">
        <v>76</v>
      </c>
      <c r="O39" s="7"/>
    </row>
    <row r="40" spans="1:15" ht="12.75" customHeight="1">
      <c r="A40" s="743"/>
      <c r="B40" s="60"/>
      <c r="C40" s="694"/>
      <c r="D40" s="434" t="s">
        <v>216</v>
      </c>
      <c r="E40" s="9"/>
      <c r="F40" s="6" t="s">
        <v>284</v>
      </c>
      <c r="G40" s="9"/>
      <c r="H40" s="126">
        <f t="shared" si="2"/>
        <v>1200</v>
      </c>
      <c r="I40" s="107"/>
      <c r="J40" s="78"/>
      <c r="K40" s="78">
        <v>1200</v>
      </c>
      <c r="L40" s="26"/>
      <c r="M40" s="26"/>
      <c r="N40" s="107" t="s">
        <v>76</v>
      </c>
      <c r="O40" s="7"/>
    </row>
    <row r="41" spans="1:15" ht="12.75" customHeight="1">
      <c r="A41" s="708" t="s">
        <v>155</v>
      </c>
      <c r="B41" s="60"/>
      <c r="C41" s="776" t="s">
        <v>51</v>
      </c>
      <c r="D41" s="574" t="s">
        <v>81</v>
      </c>
      <c r="E41" s="398"/>
      <c r="F41" s="584" t="s">
        <v>501</v>
      </c>
      <c r="G41" s="398"/>
      <c r="H41" s="399">
        <f t="shared" si="2"/>
        <v>105000</v>
      </c>
      <c r="I41" s="400" t="s">
        <v>76</v>
      </c>
      <c r="J41" s="397"/>
      <c r="K41" s="397">
        <v>105000</v>
      </c>
      <c r="L41" s="26"/>
      <c r="M41" s="26"/>
      <c r="N41" s="107" t="s">
        <v>76</v>
      </c>
      <c r="O41" s="7"/>
    </row>
    <row r="42" spans="1:15" ht="12.75" customHeight="1">
      <c r="A42" s="709"/>
      <c r="B42" s="62"/>
      <c r="C42" s="788"/>
      <c r="D42" s="6" t="s">
        <v>81</v>
      </c>
      <c r="E42" s="9"/>
      <c r="F42" s="693" t="s">
        <v>284</v>
      </c>
      <c r="G42" s="9"/>
      <c r="H42" s="126">
        <f t="shared" si="2"/>
        <v>201123.7</v>
      </c>
      <c r="I42" s="107" t="s">
        <v>76</v>
      </c>
      <c r="J42" s="78"/>
      <c r="K42" s="78">
        <f>195152.7+2985.5+2985.5</f>
        <v>201123.7</v>
      </c>
      <c r="L42" s="26"/>
      <c r="M42" s="26"/>
      <c r="N42" s="107" t="s">
        <v>76</v>
      </c>
      <c r="O42" s="7"/>
    </row>
    <row r="43" spans="1:21" ht="12.75">
      <c r="A43" s="709"/>
      <c r="B43" s="62"/>
      <c r="C43" s="788"/>
      <c r="D43" s="6" t="s">
        <v>166</v>
      </c>
      <c r="E43" s="9"/>
      <c r="F43" s="697"/>
      <c r="G43" s="9"/>
      <c r="H43" s="126">
        <f t="shared" si="2"/>
        <v>188911.8</v>
      </c>
      <c r="I43" s="107" t="s">
        <v>76</v>
      </c>
      <c r="J43" s="78"/>
      <c r="K43" s="78">
        <f>148024.8+20443.5+20443.5</f>
        <v>188911.8</v>
      </c>
      <c r="L43" s="26"/>
      <c r="M43" s="26"/>
      <c r="N43" s="107" t="s">
        <v>76</v>
      </c>
      <c r="O43" s="7"/>
      <c r="U43" s="392"/>
    </row>
    <row r="44" spans="1:15" ht="12.75">
      <c r="A44" s="710"/>
      <c r="B44" s="62"/>
      <c r="C44" s="777"/>
      <c r="D44" s="9" t="s">
        <v>196</v>
      </c>
      <c r="E44" s="9"/>
      <c r="F44" s="694"/>
      <c r="G44" s="9"/>
      <c r="H44" s="126">
        <f t="shared" si="2"/>
        <v>20990.2</v>
      </c>
      <c r="I44" s="107" t="s">
        <v>76</v>
      </c>
      <c r="J44" s="78"/>
      <c r="K44" s="78">
        <f>16447.2+2271.5+2271.5</f>
        <v>20990.2</v>
      </c>
      <c r="L44" s="26"/>
      <c r="M44" s="26"/>
      <c r="N44" s="107" t="s">
        <v>76</v>
      </c>
      <c r="O44" s="7"/>
    </row>
    <row r="45" spans="1:15" ht="63.75">
      <c r="A45" s="65" t="s">
        <v>43</v>
      </c>
      <c r="B45" s="66"/>
      <c r="C45" s="368" t="s">
        <v>42</v>
      </c>
      <c r="D45" s="6" t="s">
        <v>162</v>
      </c>
      <c r="E45" s="9"/>
      <c r="F45" s="6" t="s">
        <v>284</v>
      </c>
      <c r="G45" s="9"/>
      <c r="H45" s="126">
        <f t="shared" si="2"/>
        <v>950000</v>
      </c>
      <c r="I45" s="107" t="s">
        <v>76</v>
      </c>
      <c r="J45" s="78"/>
      <c r="K45" s="78">
        <v>950000</v>
      </c>
      <c r="L45" s="26"/>
      <c r="M45" s="26"/>
      <c r="N45" s="107" t="s">
        <v>76</v>
      </c>
      <c r="O45" s="7"/>
    </row>
    <row r="46" spans="1:21" ht="25.5">
      <c r="A46" s="65" t="s">
        <v>225</v>
      </c>
      <c r="B46" s="66"/>
      <c r="C46" s="398" t="s">
        <v>203</v>
      </c>
      <c r="D46" s="398" t="s">
        <v>81</v>
      </c>
      <c r="E46" s="398"/>
      <c r="F46" s="574" t="s">
        <v>284</v>
      </c>
      <c r="G46" s="398"/>
      <c r="H46" s="399">
        <f t="shared" si="2"/>
        <v>392236</v>
      </c>
      <c r="I46" s="400" t="s">
        <v>76</v>
      </c>
      <c r="J46" s="397"/>
      <c r="K46" s="397">
        <f>10000+382236</f>
        <v>392236</v>
      </c>
      <c r="L46" s="26"/>
      <c r="M46" s="26"/>
      <c r="N46" s="107" t="s">
        <v>76</v>
      </c>
      <c r="O46" s="7"/>
      <c r="U46" s="469"/>
    </row>
    <row r="47" spans="1:15" ht="21" customHeight="1" hidden="1">
      <c r="A47" s="689" t="s">
        <v>199</v>
      </c>
      <c r="B47" s="66"/>
      <c r="C47" s="690" t="s">
        <v>192</v>
      </c>
      <c r="D47" s="59" t="s">
        <v>193</v>
      </c>
      <c r="E47" s="59"/>
      <c r="F47" s="693" t="s">
        <v>209</v>
      </c>
      <c r="G47" s="9"/>
      <c r="H47" s="126">
        <f t="shared" si="2"/>
        <v>0</v>
      </c>
      <c r="I47" s="107" t="s">
        <v>76</v>
      </c>
      <c r="J47" s="78"/>
      <c r="K47" s="78"/>
      <c r="L47" s="26"/>
      <c r="M47" s="26"/>
      <c r="N47" s="107" t="s">
        <v>76</v>
      </c>
      <c r="O47" s="7"/>
    </row>
    <row r="48" spans="1:15" ht="18" customHeight="1" hidden="1">
      <c r="A48" s="689"/>
      <c r="B48" s="66"/>
      <c r="C48" s="690"/>
      <c r="D48" s="59" t="s">
        <v>196</v>
      </c>
      <c r="E48" s="59"/>
      <c r="F48" s="694"/>
      <c r="G48" s="9"/>
      <c r="H48" s="126">
        <f t="shared" si="2"/>
        <v>0</v>
      </c>
      <c r="I48" s="107" t="s">
        <v>76</v>
      </c>
      <c r="J48" s="78"/>
      <c r="K48" s="78"/>
      <c r="L48" s="26"/>
      <c r="M48" s="26"/>
      <c r="N48" s="107" t="s">
        <v>76</v>
      </c>
      <c r="O48" s="7"/>
    </row>
    <row r="49" spans="1:15" ht="38.25">
      <c r="A49" s="22" t="s">
        <v>49</v>
      </c>
      <c r="B49" s="6"/>
      <c r="C49" s="6" t="s">
        <v>23</v>
      </c>
      <c r="D49" s="6" t="s">
        <v>228</v>
      </c>
      <c r="E49" s="6"/>
      <c r="F49" s="6" t="s">
        <v>209</v>
      </c>
      <c r="G49" s="6"/>
      <c r="H49" s="129">
        <f t="shared" si="2"/>
        <v>90100</v>
      </c>
      <c r="I49" s="26"/>
      <c r="J49" s="26"/>
      <c r="K49" s="78">
        <v>90100</v>
      </c>
      <c r="L49" s="26"/>
      <c r="M49" s="26"/>
      <c r="N49" s="26"/>
      <c r="O49" s="7"/>
    </row>
    <row r="50" spans="1:15" ht="22.5" customHeight="1" hidden="1">
      <c r="A50" s="8" t="s">
        <v>229</v>
      </c>
      <c r="B50" s="6"/>
      <c r="C50" s="22" t="s">
        <v>230</v>
      </c>
      <c r="D50" s="6" t="s">
        <v>81</v>
      </c>
      <c r="E50" s="9"/>
      <c r="F50" s="15" t="s">
        <v>209</v>
      </c>
      <c r="G50" s="9"/>
      <c r="H50" s="126">
        <f t="shared" si="2"/>
        <v>0</v>
      </c>
      <c r="I50" s="107"/>
      <c r="J50" s="78"/>
      <c r="K50" s="26"/>
      <c r="L50" s="26"/>
      <c r="M50" s="26"/>
      <c r="N50" s="26"/>
      <c r="O50" s="7"/>
    </row>
    <row r="51" spans="1:21" s="25" customFormat="1" ht="17.25" customHeight="1">
      <c r="A51" s="23" t="s">
        <v>94</v>
      </c>
      <c r="B51" s="24" t="s">
        <v>95</v>
      </c>
      <c r="C51" s="56" t="s">
        <v>76</v>
      </c>
      <c r="D51" s="56" t="s">
        <v>76</v>
      </c>
      <c r="E51" s="56" t="s">
        <v>76</v>
      </c>
      <c r="F51" s="56" t="s">
        <v>76</v>
      </c>
      <c r="G51" s="56" t="s">
        <v>76</v>
      </c>
      <c r="H51" s="130">
        <f>I51+N51+K51</f>
        <v>24922972.539999995</v>
      </c>
      <c r="I51" s="130">
        <f>I57+I85+I103</f>
        <v>21886042.999999996</v>
      </c>
      <c r="J51" s="130"/>
      <c r="K51" s="130">
        <f>K103+K107+K109+K122+K134+K137+K139+K116+K142+K144+K146+K111</f>
        <v>2944310.7</v>
      </c>
      <c r="L51" s="130"/>
      <c r="M51" s="130"/>
      <c r="N51" s="130">
        <f>N148</f>
        <v>92618.84000000001</v>
      </c>
      <c r="O51" s="95"/>
      <c r="U51" s="380"/>
    </row>
    <row r="52" spans="1:15" s="25" customFormat="1" ht="18" customHeight="1">
      <c r="A52" s="8" t="s">
        <v>96</v>
      </c>
      <c r="B52" s="9" t="s">
        <v>97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16734330</v>
      </c>
      <c r="I52" s="78">
        <f>I53+I55</f>
        <v>16734330</v>
      </c>
      <c r="J52" s="78"/>
      <c r="K52" s="78"/>
      <c r="L52" s="78"/>
      <c r="M52" s="78"/>
      <c r="N52" s="78"/>
      <c r="O52" s="7" t="s">
        <v>76</v>
      </c>
    </row>
    <row r="53" spans="1:15" s="25" customFormat="1" ht="25.5">
      <c r="A53" s="22" t="s">
        <v>98</v>
      </c>
      <c r="B53" s="9" t="s">
        <v>99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16734330</v>
      </c>
      <c r="I53" s="78">
        <f>I58+I60+I62+I63</f>
        <v>16734330</v>
      </c>
      <c r="J53" s="78"/>
      <c r="K53" s="78"/>
      <c r="L53" s="78"/>
      <c r="M53" s="78"/>
      <c r="N53" s="78"/>
      <c r="O53" s="7" t="s">
        <v>76</v>
      </c>
    </row>
    <row r="54" spans="1:15" s="25" customFormat="1" ht="9.75" customHeight="1" hidden="1">
      <c r="A54" s="8" t="s">
        <v>100</v>
      </c>
      <c r="B54" s="9" t="s">
        <v>101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/>
      <c r="I54" s="78"/>
      <c r="J54" s="78"/>
      <c r="K54" s="78"/>
      <c r="L54" s="78"/>
      <c r="M54" s="78"/>
      <c r="N54" s="78"/>
      <c r="O54" s="7" t="s">
        <v>76</v>
      </c>
    </row>
    <row r="55" spans="1:15" s="25" customFormat="1" ht="25.5" hidden="1">
      <c r="A55" s="8" t="s">
        <v>102</v>
      </c>
      <c r="B55" s="9" t="s">
        <v>103</v>
      </c>
      <c r="C55" s="26" t="s">
        <v>76</v>
      </c>
      <c r="D55" s="26" t="s">
        <v>76</v>
      </c>
      <c r="E55" s="26" t="s">
        <v>76</v>
      </c>
      <c r="F55" s="26" t="s">
        <v>76</v>
      </c>
      <c r="G55" s="26" t="s">
        <v>76</v>
      </c>
      <c r="H55" s="126">
        <f>I55+N55</f>
        <v>0</v>
      </c>
      <c r="I55" s="78"/>
      <c r="J55" s="78"/>
      <c r="K55" s="78"/>
      <c r="L55" s="78"/>
      <c r="M55" s="78"/>
      <c r="N55" s="78"/>
      <c r="O55" s="7" t="s">
        <v>76</v>
      </c>
    </row>
    <row r="56" spans="1:15" s="25" customFormat="1" ht="13.5" customHeight="1" hidden="1">
      <c r="A56" s="8" t="s">
        <v>104</v>
      </c>
      <c r="B56" s="9" t="s">
        <v>105</v>
      </c>
      <c r="C56" s="26" t="s">
        <v>76</v>
      </c>
      <c r="D56" s="26" t="s">
        <v>76</v>
      </c>
      <c r="E56" s="26" t="s">
        <v>76</v>
      </c>
      <c r="F56" s="26" t="s">
        <v>76</v>
      </c>
      <c r="G56" s="26" t="s">
        <v>76</v>
      </c>
      <c r="H56" s="126">
        <v>0</v>
      </c>
      <c r="I56" s="78">
        <v>0</v>
      </c>
      <c r="J56" s="78"/>
      <c r="K56" s="78"/>
      <c r="L56" s="78"/>
      <c r="M56" s="78"/>
      <c r="N56" s="78"/>
      <c r="O56" s="21"/>
    </row>
    <row r="57" spans="1:15" s="25" customFormat="1" ht="29.25" customHeight="1">
      <c r="A57" s="681" t="s">
        <v>428</v>
      </c>
      <c r="B57" s="683"/>
      <c r="C57" s="27" t="s">
        <v>18</v>
      </c>
      <c r="D57" s="3"/>
      <c r="E57" s="27"/>
      <c r="F57" s="3"/>
      <c r="G57" s="3"/>
      <c r="H57" s="124">
        <f>SUM(H58:H84)</f>
        <v>17907003.999999996</v>
      </c>
      <c r="I57" s="97">
        <f>SUM(I58:I84)</f>
        <v>17907003.999999996</v>
      </c>
      <c r="J57" s="110"/>
      <c r="K57" s="111" t="s">
        <v>107</v>
      </c>
      <c r="L57" s="111"/>
      <c r="M57" s="111"/>
      <c r="N57" s="111" t="s">
        <v>107</v>
      </c>
      <c r="O57" s="28"/>
    </row>
    <row r="58" spans="1:15" s="25" customFormat="1" ht="16.5" customHeight="1">
      <c r="A58" s="22" t="s">
        <v>4</v>
      </c>
      <c r="B58" s="9"/>
      <c r="C58" s="6" t="s">
        <v>18</v>
      </c>
      <c r="D58" s="14">
        <v>14130030000000000</v>
      </c>
      <c r="E58" s="6" t="s">
        <v>108</v>
      </c>
      <c r="F58" s="6" t="s">
        <v>99</v>
      </c>
      <c r="G58" s="6" t="s">
        <v>109</v>
      </c>
      <c r="H58" s="126">
        <f aca="true" t="shared" si="3" ref="H58:H99">I58</f>
        <v>12840000</v>
      </c>
      <c r="I58" s="112">
        <f>12739000-10404-14200+125604</f>
        <v>12840000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6.5" customHeight="1">
      <c r="A59" s="22" t="s">
        <v>5</v>
      </c>
      <c r="B59" s="9"/>
      <c r="C59" s="6" t="s">
        <v>18</v>
      </c>
      <c r="D59" s="9" t="s">
        <v>81</v>
      </c>
      <c r="E59" s="6" t="s">
        <v>108</v>
      </c>
      <c r="F59" s="308" t="s">
        <v>110</v>
      </c>
      <c r="G59" s="308" t="s">
        <v>111</v>
      </c>
      <c r="H59" s="126">
        <f t="shared" si="3"/>
        <v>1100</v>
      </c>
      <c r="I59" s="112">
        <f>400+700</f>
        <v>1100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/>
    </row>
    <row r="60" spans="1:15" s="25" customFormat="1" ht="15.75" customHeight="1">
      <c r="A60" s="22" t="s">
        <v>5</v>
      </c>
      <c r="B60" s="9"/>
      <c r="C60" s="693" t="s">
        <v>18</v>
      </c>
      <c r="D60" s="9" t="s">
        <v>81</v>
      </c>
      <c r="E60" s="6" t="s">
        <v>108</v>
      </c>
      <c r="F60" s="693" t="s">
        <v>116</v>
      </c>
      <c r="G60" s="693" t="s">
        <v>111</v>
      </c>
      <c r="H60" s="126">
        <f t="shared" si="3"/>
        <v>17330</v>
      </c>
      <c r="I60" s="78">
        <f>2270+7860+7200</f>
        <v>17330</v>
      </c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2.75">
      <c r="A61" s="22" t="s">
        <v>5</v>
      </c>
      <c r="B61" s="9"/>
      <c r="C61" s="694"/>
      <c r="D61" s="14">
        <v>14130030000000000</v>
      </c>
      <c r="E61" s="9" t="s">
        <v>157</v>
      </c>
      <c r="F61" s="761"/>
      <c r="G61" s="761"/>
      <c r="H61" s="126">
        <f t="shared" si="3"/>
        <v>2400</v>
      </c>
      <c r="I61" s="78">
        <v>2400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>
      <c r="A62" s="81" t="s">
        <v>6</v>
      </c>
      <c r="B62" s="9"/>
      <c r="C62" s="6" t="s">
        <v>18</v>
      </c>
      <c r="D62" s="14">
        <v>14130030000000000</v>
      </c>
      <c r="E62" s="6" t="s">
        <v>108</v>
      </c>
      <c r="F62" s="6" t="s">
        <v>112</v>
      </c>
      <c r="G62" s="6" t="s">
        <v>113</v>
      </c>
      <c r="H62" s="126">
        <f t="shared" si="3"/>
        <v>3877000</v>
      </c>
      <c r="I62" s="78">
        <f>3855000+22000</f>
        <v>3877000</v>
      </c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hidden="1">
      <c r="A63" s="86"/>
      <c r="B63" s="12"/>
      <c r="C63" s="60"/>
      <c r="D63" s="30">
        <v>14130030000000000</v>
      </c>
      <c r="E63" s="29"/>
      <c r="F63" s="31"/>
      <c r="G63" s="31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/>
    </row>
    <row r="64" spans="1:15" s="25" customFormat="1" ht="13.5" customHeight="1">
      <c r="A64" s="691" t="s">
        <v>7</v>
      </c>
      <c r="B64" s="9"/>
      <c r="C64" s="693" t="s">
        <v>18</v>
      </c>
      <c r="D64" s="9" t="s">
        <v>81</v>
      </c>
      <c r="E64" s="9" t="s">
        <v>108</v>
      </c>
      <c r="F64" s="693" t="s">
        <v>114</v>
      </c>
      <c r="G64" s="9" t="s">
        <v>115</v>
      </c>
      <c r="H64" s="126">
        <f t="shared" si="3"/>
        <v>32600</v>
      </c>
      <c r="I64" s="113">
        <v>32600</v>
      </c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697"/>
      <c r="D65" s="15"/>
      <c r="E65" s="9"/>
      <c r="F65" s="697"/>
      <c r="G65" s="9" t="s">
        <v>115</v>
      </c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 hidden="1">
      <c r="A66" s="696"/>
      <c r="B66" s="9"/>
      <c r="C66" s="697"/>
      <c r="D66" s="15"/>
      <c r="E66" s="9"/>
      <c r="F66" s="697"/>
      <c r="G66" s="9"/>
      <c r="H66" s="126">
        <f t="shared" si="3"/>
        <v>0</v>
      </c>
      <c r="I66" s="78"/>
      <c r="J66" s="78"/>
      <c r="K66" s="107" t="s">
        <v>76</v>
      </c>
      <c r="L66" s="107" t="s">
        <v>76</v>
      </c>
      <c r="M66" s="107" t="s">
        <v>76</v>
      </c>
      <c r="N66" s="107" t="s">
        <v>76</v>
      </c>
      <c r="O66" s="6" t="s">
        <v>76</v>
      </c>
    </row>
    <row r="67" spans="1:15" s="25" customFormat="1" ht="12.75" customHeight="1" hidden="1">
      <c r="A67" s="696"/>
      <c r="B67" s="9"/>
      <c r="C67" s="697"/>
      <c r="D67" s="15"/>
      <c r="E67" s="9"/>
      <c r="F67" s="697"/>
      <c r="G67" s="9"/>
      <c r="H67" s="126">
        <f t="shared" si="3"/>
        <v>0</v>
      </c>
      <c r="I67" s="78"/>
      <c r="J67" s="78"/>
      <c r="K67" s="107" t="s">
        <v>76</v>
      </c>
      <c r="L67" s="107" t="s">
        <v>76</v>
      </c>
      <c r="M67" s="107" t="s">
        <v>76</v>
      </c>
      <c r="N67" s="107" t="s">
        <v>76</v>
      </c>
      <c r="O67" s="6" t="s">
        <v>76</v>
      </c>
    </row>
    <row r="68" spans="1:15" s="25" customFormat="1" ht="12.75" customHeight="1" hidden="1">
      <c r="A68" s="696"/>
      <c r="B68" s="9"/>
      <c r="C68" s="697"/>
      <c r="D68" s="15"/>
      <c r="E68" s="9"/>
      <c r="F68" s="697"/>
      <c r="G68" s="9"/>
      <c r="H68" s="126">
        <f t="shared" si="3"/>
        <v>0</v>
      </c>
      <c r="I68" s="78"/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 customHeight="1">
      <c r="A69" s="692"/>
      <c r="B69" s="9"/>
      <c r="C69" s="694"/>
      <c r="D69" s="14">
        <v>14130030000000000</v>
      </c>
      <c r="E69" s="9" t="s">
        <v>108</v>
      </c>
      <c r="F69" s="694"/>
      <c r="G69" s="9" t="s">
        <v>115</v>
      </c>
      <c r="H69" s="126">
        <f t="shared" si="3"/>
        <v>50155</v>
      </c>
      <c r="I69" s="106">
        <f>30000+20155</f>
        <v>50155</v>
      </c>
      <c r="J69" s="78"/>
      <c r="K69" s="107" t="s">
        <v>76</v>
      </c>
      <c r="L69" s="107"/>
      <c r="M69" s="107"/>
      <c r="N69" s="107" t="s">
        <v>76</v>
      </c>
      <c r="O69" s="6"/>
    </row>
    <row r="70" spans="1:15" s="25" customFormat="1" ht="12.75" customHeight="1">
      <c r="A70" s="16" t="s">
        <v>8</v>
      </c>
      <c r="B70" s="9"/>
      <c r="C70" s="6" t="s">
        <v>18</v>
      </c>
      <c r="D70" s="9" t="s">
        <v>81</v>
      </c>
      <c r="E70" s="10" t="s">
        <v>108</v>
      </c>
      <c r="F70" s="11" t="s">
        <v>128</v>
      </c>
      <c r="G70" s="10" t="s">
        <v>115</v>
      </c>
      <c r="H70" s="126">
        <f t="shared" si="3"/>
        <v>94600</v>
      </c>
      <c r="I70" s="113">
        <f>102000-7400</f>
        <v>94600</v>
      </c>
      <c r="J70" s="78"/>
      <c r="K70" s="107" t="s">
        <v>76</v>
      </c>
      <c r="L70" s="107"/>
      <c r="M70" s="107"/>
      <c r="N70" s="107" t="s">
        <v>76</v>
      </c>
      <c r="O70" s="6"/>
    </row>
    <row r="71" spans="1:15" s="25" customFormat="1" ht="12.75">
      <c r="A71" s="691" t="s">
        <v>12</v>
      </c>
      <c r="B71" s="9"/>
      <c r="C71" s="693" t="s">
        <v>18</v>
      </c>
      <c r="D71" s="9" t="s">
        <v>81</v>
      </c>
      <c r="E71" s="693" t="s">
        <v>108</v>
      </c>
      <c r="F71" s="693" t="s">
        <v>116</v>
      </c>
      <c r="G71" s="693" t="s">
        <v>115</v>
      </c>
      <c r="H71" s="126">
        <f t="shared" si="3"/>
        <v>184218.4</v>
      </c>
      <c r="I71" s="113">
        <f>216300+56000-21600-2270-11732.2-52479.4</f>
        <v>184218.4</v>
      </c>
      <c r="J71" s="78"/>
      <c r="K71" s="107" t="s">
        <v>76</v>
      </c>
      <c r="L71" s="107" t="s">
        <v>76</v>
      </c>
      <c r="M71" s="107" t="s">
        <v>76</v>
      </c>
      <c r="N71" s="107" t="s">
        <v>76</v>
      </c>
      <c r="O71" s="6" t="s">
        <v>76</v>
      </c>
    </row>
    <row r="72" spans="1:15" s="25" customFormat="1" ht="12.75">
      <c r="A72" s="692"/>
      <c r="B72" s="9"/>
      <c r="C72" s="694"/>
      <c r="D72" s="14">
        <v>14130030000000000</v>
      </c>
      <c r="E72" s="694"/>
      <c r="F72" s="694"/>
      <c r="G72" s="694"/>
      <c r="H72" s="126">
        <f t="shared" si="3"/>
        <v>0</v>
      </c>
      <c r="I72" s="79"/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22" t="s">
        <v>13</v>
      </c>
      <c r="B73" s="9"/>
      <c r="C73" s="9"/>
      <c r="D73" s="15"/>
      <c r="E73" s="9"/>
      <c r="F73" s="9" t="s">
        <v>117</v>
      </c>
      <c r="G73" s="9" t="s">
        <v>115</v>
      </c>
      <c r="H73" s="126">
        <f t="shared" si="3"/>
        <v>0</v>
      </c>
      <c r="I73" s="78"/>
      <c r="J73" s="78"/>
      <c r="K73" s="107" t="s">
        <v>76</v>
      </c>
      <c r="L73" s="107" t="s">
        <v>76</v>
      </c>
      <c r="M73" s="107" t="s">
        <v>76</v>
      </c>
      <c r="N73" s="107" t="s">
        <v>76</v>
      </c>
      <c r="O73" s="6" t="s">
        <v>76</v>
      </c>
    </row>
    <row r="74" spans="1:15" s="25" customFormat="1" ht="12.75">
      <c r="A74" s="22" t="s">
        <v>427</v>
      </c>
      <c r="B74" s="9"/>
      <c r="C74" s="6" t="s">
        <v>18</v>
      </c>
      <c r="D74" s="9" t="s">
        <v>81</v>
      </c>
      <c r="E74" s="471" t="s">
        <v>232</v>
      </c>
      <c r="F74" s="9" t="s">
        <v>116</v>
      </c>
      <c r="G74" s="10" t="s">
        <v>115</v>
      </c>
      <c r="H74" s="126">
        <f t="shared" si="3"/>
        <v>21600</v>
      </c>
      <c r="I74" s="78">
        <v>21600</v>
      </c>
      <c r="J74" s="78"/>
      <c r="K74" s="107"/>
      <c r="L74" s="107"/>
      <c r="M74" s="107"/>
      <c r="N74" s="107"/>
      <c r="O74" s="6"/>
    </row>
    <row r="75" spans="1:15" s="25" customFormat="1" ht="25.5">
      <c r="A75" s="22" t="s">
        <v>245</v>
      </c>
      <c r="B75" s="9"/>
      <c r="C75" s="9" t="s">
        <v>18</v>
      </c>
      <c r="D75" s="14">
        <v>14130010000000000</v>
      </c>
      <c r="E75" s="9" t="s">
        <v>108</v>
      </c>
      <c r="F75" s="9" t="s">
        <v>246</v>
      </c>
      <c r="G75" s="10" t="s">
        <v>109</v>
      </c>
      <c r="H75" s="126">
        <f t="shared" si="3"/>
        <v>50104</v>
      </c>
      <c r="I75" s="78">
        <f>25500+10404+14200</f>
        <v>50104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12.75">
      <c r="A76" s="22" t="s">
        <v>14</v>
      </c>
      <c r="B76" s="9"/>
      <c r="C76" s="9" t="s">
        <v>18</v>
      </c>
      <c r="D76" s="9" t="s">
        <v>81</v>
      </c>
      <c r="E76" s="9" t="s">
        <v>108</v>
      </c>
      <c r="F76" s="9" t="s">
        <v>118</v>
      </c>
      <c r="G76" s="9" t="s">
        <v>115</v>
      </c>
      <c r="H76" s="126">
        <f t="shared" si="3"/>
        <v>51979.4</v>
      </c>
      <c r="I76" s="78">
        <f>51979.4</f>
        <v>51979.4</v>
      </c>
      <c r="J76" s="78"/>
      <c r="K76" s="107"/>
      <c r="L76" s="107"/>
      <c r="M76" s="107"/>
      <c r="N76" s="107"/>
      <c r="O76" s="6"/>
    </row>
    <row r="77" spans="1:15" s="25" customFormat="1" ht="12.75">
      <c r="A77" s="22" t="s">
        <v>14</v>
      </c>
      <c r="B77" s="9"/>
      <c r="C77" s="9" t="s">
        <v>18</v>
      </c>
      <c r="D77" s="14">
        <v>14130030000000000</v>
      </c>
      <c r="E77" s="695" t="s">
        <v>108</v>
      </c>
      <c r="F77" s="9" t="s">
        <v>118</v>
      </c>
      <c r="G77" s="9" t="s">
        <v>115</v>
      </c>
      <c r="H77" s="126">
        <f t="shared" si="3"/>
        <v>639045</v>
      </c>
      <c r="I77" s="79">
        <f>641445-2400</f>
        <v>639045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51" hidden="1">
      <c r="A78" s="82" t="s">
        <v>237</v>
      </c>
      <c r="B78" s="9"/>
      <c r="C78" s="83" t="s">
        <v>18</v>
      </c>
      <c r="D78" s="9" t="s">
        <v>81</v>
      </c>
      <c r="E78" s="695"/>
      <c r="F78" s="84" t="s">
        <v>238</v>
      </c>
      <c r="G78" s="84" t="s">
        <v>115</v>
      </c>
      <c r="H78" s="126">
        <f t="shared" si="3"/>
        <v>0</v>
      </c>
      <c r="I78" s="113"/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/>
    </row>
    <row r="79" spans="1:15" s="25" customFormat="1" ht="38.25">
      <c r="A79" s="82" t="s">
        <v>239</v>
      </c>
      <c r="B79" s="9"/>
      <c r="C79" s="83" t="s">
        <v>18</v>
      </c>
      <c r="D79" s="9" t="s">
        <v>81</v>
      </c>
      <c r="E79" s="83" t="s">
        <v>108</v>
      </c>
      <c r="F79" s="84" t="s">
        <v>240</v>
      </c>
      <c r="G79" s="84" t="s">
        <v>115</v>
      </c>
      <c r="H79" s="126">
        <f t="shared" si="3"/>
        <v>1400</v>
      </c>
      <c r="I79" s="106">
        <v>1400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/>
    </row>
    <row r="80" spans="1:15" s="25" customFormat="1" ht="25.5">
      <c r="A80" s="22" t="s">
        <v>241</v>
      </c>
      <c r="B80" s="9"/>
      <c r="C80" s="9" t="s">
        <v>18</v>
      </c>
      <c r="D80" s="9" t="s">
        <v>81</v>
      </c>
      <c r="E80" s="10" t="s">
        <v>108</v>
      </c>
      <c r="F80" s="9" t="s">
        <v>242</v>
      </c>
      <c r="G80" s="9" t="s">
        <v>115</v>
      </c>
      <c r="H80" s="126">
        <f>I80</f>
        <v>3472.2</v>
      </c>
      <c r="I80" s="376">
        <v>3472.2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/>
    </row>
    <row r="81" spans="1:15" s="25" customFormat="1" ht="25.5">
      <c r="A81" s="22" t="s">
        <v>241</v>
      </c>
      <c r="B81" s="9"/>
      <c r="C81" s="9" t="s">
        <v>18</v>
      </c>
      <c r="D81" s="14">
        <v>14130030000000000</v>
      </c>
      <c r="E81" s="10" t="s">
        <v>108</v>
      </c>
      <c r="F81" s="9" t="s">
        <v>242</v>
      </c>
      <c r="G81" s="9" t="s">
        <v>115</v>
      </c>
      <c r="H81" s="126">
        <f t="shared" si="3"/>
        <v>40000</v>
      </c>
      <c r="I81" s="376">
        <f>20000+20000</f>
        <v>40000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/>
    </row>
    <row r="82" spans="1:15" s="25" customFormat="1" ht="25.5">
      <c r="A82" s="394" t="s">
        <v>243</v>
      </c>
      <c r="B82" s="6"/>
      <c r="C82" s="6" t="s">
        <v>18</v>
      </c>
      <c r="D82" s="395">
        <v>14130030000000000</v>
      </c>
      <c r="E82" s="6" t="s">
        <v>108</v>
      </c>
      <c r="F82" s="6" t="s">
        <v>244</v>
      </c>
      <c r="G82" s="6" t="s">
        <v>115</v>
      </c>
      <c r="H82" s="126">
        <f t="shared" si="3"/>
        <v>0</v>
      </c>
      <c r="I82" s="376">
        <f>20000-20000</f>
        <v>0</v>
      </c>
      <c r="J82" s="107"/>
      <c r="K82" s="107" t="s">
        <v>76</v>
      </c>
      <c r="L82" s="107" t="s">
        <v>76</v>
      </c>
      <c r="M82" s="107" t="s">
        <v>76</v>
      </c>
      <c r="N82" s="107" t="s">
        <v>76</v>
      </c>
      <c r="O82" s="6"/>
    </row>
    <row r="83" spans="1:15" s="25" customFormat="1" ht="12.75" hidden="1">
      <c r="A83" s="691" t="s">
        <v>188</v>
      </c>
      <c r="B83" s="9"/>
      <c r="C83" s="693" t="s">
        <v>18</v>
      </c>
      <c r="D83" s="9" t="s">
        <v>81</v>
      </c>
      <c r="E83" s="693" t="s">
        <v>108</v>
      </c>
      <c r="F83" s="693" t="s">
        <v>119</v>
      </c>
      <c r="G83" s="693" t="s">
        <v>115</v>
      </c>
      <c r="H83" s="126">
        <f t="shared" si="3"/>
        <v>0</v>
      </c>
      <c r="I83" s="78"/>
      <c r="J83" s="100"/>
      <c r="K83" s="101" t="s">
        <v>76</v>
      </c>
      <c r="L83" s="101" t="s">
        <v>76</v>
      </c>
      <c r="M83" s="101" t="s">
        <v>76</v>
      </c>
      <c r="N83" s="101" t="s">
        <v>76</v>
      </c>
      <c r="O83" s="6"/>
    </row>
    <row r="84" spans="1:15" s="25" customFormat="1" ht="12.75" hidden="1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0</v>
      </c>
      <c r="I84" s="79"/>
      <c r="J84" s="100"/>
      <c r="K84" s="101" t="s">
        <v>76</v>
      </c>
      <c r="L84" s="101" t="s">
        <v>76</v>
      </c>
      <c r="M84" s="101" t="s">
        <v>76</v>
      </c>
      <c r="N84" s="101" t="s">
        <v>76</v>
      </c>
      <c r="O84" s="6" t="s">
        <v>76</v>
      </c>
    </row>
    <row r="85" spans="1:15" s="25" customFormat="1" ht="27.75" customHeight="1">
      <c r="A85" s="681" t="s">
        <v>189</v>
      </c>
      <c r="B85" s="683"/>
      <c r="C85" s="27" t="s">
        <v>20</v>
      </c>
      <c r="D85" s="3"/>
      <c r="E85" s="27"/>
      <c r="F85" s="3"/>
      <c r="G85" s="3"/>
      <c r="H85" s="124">
        <f t="shared" si="3"/>
        <v>3979039</v>
      </c>
      <c r="I85" s="97">
        <f>SUM(I86:I102)</f>
        <v>3979039</v>
      </c>
      <c r="J85" s="110"/>
      <c r="K85" s="111" t="s">
        <v>107</v>
      </c>
      <c r="L85" s="111"/>
      <c r="M85" s="111"/>
      <c r="N85" s="111" t="s">
        <v>107</v>
      </c>
      <c r="O85" s="28"/>
    </row>
    <row r="86" spans="1:15" s="25" customFormat="1" ht="15" customHeight="1">
      <c r="A86" s="22" t="s">
        <v>9</v>
      </c>
      <c r="B86" s="9"/>
      <c r="C86" s="398" t="s">
        <v>20</v>
      </c>
      <c r="D86" s="398" t="s">
        <v>81</v>
      </c>
      <c r="E86" s="398" t="s">
        <v>108</v>
      </c>
      <c r="F86" s="398" t="s">
        <v>120</v>
      </c>
      <c r="G86" s="398" t="s">
        <v>115</v>
      </c>
      <c r="H86" s="399">
        <f t="shared" si="3"/>
        <v>920797.33</v>
      </c>
      <c r="I86" s="397">
        <f>1083500-149361-13341.67</f>
        <v>920797.33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5" customHeight="1">
      <c r="A87" s="82" t="s">
        <v>8</v>
      </c>
      <c r="B87" s="9"/>
      <c r="C87" s="573" t="s">
        <v>20</v>
      </c>
      <c r="D87" s="398" t="s">
        <v>81</v>
      </c>
      <c r="E87" s="573" t="s">
        <v>108</v>
      </c>
      <c r="F87" s="573" t="s">
        <v>128</v>
      </c>
      <c r="G87" s="573" t="s">
        <v>115</v>
      </c>
      <c r="H87" s="399">
        <f t="shared" si="3"/>
        <v>14622.89</v>
      </c>
      <c r="I87" s="397">
        <f>17547.48-2924.59</f>
        <v>14622.89</v>
      </c>
      <c r="J87" s="78"/>
      <c r="K87" s="107"/>
      <c r="L87" s="107"/>
      <c r="M87" s="107"/>
      <c r="N87" s="107"/>
      <c r="O87" s="6"/>
    </row>
    <row r="88" spans="1:15" s="25" customFormat="1" ht="15" customHeight="1">
      <c r="A88" s="691" t="s">
        <v>11</v>
      </c>
      <c r="B88" s="9"/>
      <c r="C88" s="574" t="s">
        <v>20</v>
      </c>
      <c r="D88" s="398" t="s">
        <v>81</v>
      </c>
      <c r="E88" s="574" t="s">
        <v>108</v>
      </c>
      <c r="F88" s="574" t="s">
        <v>121</v>
      </c>
      <c r="G88" s="574" t="s">
        <v>115</v>
      </c>
      <c r="H88" s="399">
        <f t="shared" si="3"/>
        <v>219742.45</v>
      </c>
      <c r="I88" s="396">
        <f>246900-15000-12157.55</f>
        <v>219742.45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>
      <c r="A89" s="692"/>
      <c r="B89" s="9"/>
      <c r="C89" s="9" t="s">
        <v>20</v>
      </c>
      <c r="D89" s="14">
        <v>14130030000000000</v>
      </c>
      <c r="E89" s="9" t="s">
        <v>108</v>
      </c>
      <c r="F89" s="6" t="s">
        <v>121</v>
      </c>
      <c r="G89" s="6" t="s">
        <v>115</v>
      </c>
      <c r="H89" s="126">
        <f t="shared" si="3"/>
        <v>2020000</v>
      </c>
      <c r="I89" s="112">
        <v>2020000</v>
      </c>
      <c r="J89" s="362"/>
      <c r="K89" s="107" t="s">
        <v>76</v>
      </c>
      <c r="L89" s="107"/>
      <c r="M89" s="107"/>
      <c r="N89" s="107" t="s">
        <v>76</v>
      </c>
      <c r="O89" s="6"/>
    </row>
    <row r="90" spans="1:15" s="25" customFormat="1" ht="12.75">
      <c r="A90" s="691" t="s">
        <v>12</v>
      </c>
      <c r="B90" s="9"/>
      <c r="C90" s="574" t="s">
        <v>20</v>
      </c>
      <c r="D90" s="398" t="s">
        <v>81</v>
      </c>
      <c r="E90" s="574" t="s">
        <v>108</v>
      </c>
      <c r="F90" s="574" t="s">
        <v>116</v>
      </c>
      <c r="G90" s="574" t="s">
        <v>115</v>
      </c>
      <c r="H90" s="399">
        <f t="shared" si="3"/>
        <v>76848</v>
      </c>
      <c r="I90" s="397">
        <f>99900-17547.48-5504.52</f>
        <v>76848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 t="s">
        <v>76</v>
      </c>
    </row>
    <row r="91" spans="1:15" s="25" customFormat="1" ht="12.75">
      <c r="A91" s="692"/>
      <c r="B91" s="9"/>
      <c r="C91" s="9" t="s">
        <v>20</v>
      </c>
      <c r="D91" s="14">
        <v>14130030000000000</v>
      </c>
      <c r="E91" s="9" t="s">
        <v>108</v>
      </c>
      <c r="F91" s="6" t="s">
        <v>116</v>
      </c>
      <c r="G91" s="6" t="s">
        <v>115</v>
      </c>
      <c r="H91" s="126">
        <f t="shared" si="3"/>
        <v>534800</v>
      </c>
      <c r="I91" s="115">
        <v>534800</v>
      </c>
      <c r="J91" s="78"/>
      <c r="K91" s="107" t="s">
        <v>76</v>
      </c>
      <c r="L91" s="107"/>
      <c r="M91" s="107"/>
      <c r="N91" s="107" t="s">
        <v>76</v>
      </c>
      <c r="O91" s="6"/>
    </row>
    <row r="92" spans="1:15" s="25" customFormat="1" ht="12.75">
      <c r="A92" s="22" t="s">
        <v>249</v>
      </c>
      <c r="B92" s="9"/>
      <c r="C92" s="9" t="s">
        <v>20</v>
      </c>
      <c r="D92" s="9" t="s">
        <v>81</v>
      </c>
      <c r="E92" s="9" t="s">
        <v>108</v>
      </c>
      <c r="F92" s="9" t="s">
        <v>206</v>
      </c>
      <c r="G92" s="9" t="s">
        <v>122</v>
      </c>
      <c r="H92" s="126">
        <f t="shared" si="3"/>
        <v>60200</v>
      </c>
      <c r="I92" s="78">
        <f>55400+4800</f>
        <v>60200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2.75" hidden="1">
      <c r="A93" s="22" t="s">
        <v>249</v>
      </c>
      <c r="B93" s="9"/>
      <c r="C93" s="9" t="s">
        <v>20</v>
      </c>
      <c r="D93" s="9" t="s">
        <v>81</v>
      </c>
      <c r="E93" s="9" t="s">
        <v>108</v>
      </c>
      <c r="F93" s="9" t="s">
        <v>206</v>
      </c>
      <c r="G93" s="9" t="s">
        <v>250</v>
      </c>
      <c r="H93" s="126">
        <f t="shared" si="3"/>
        <v>0</v>
      </c>
      <c r="I93" s="79">
        <f>4800-4800</f>
        <v>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>
      <c r="A94" s="22" t="s">
        <v>14</v>
      </c>
      <c r="B94" s="9"/>
      <c r="C94" s="398" t="s">
        <v>20</v>
      </c>
      <c r="D94" s="398" t="s">
        <v>81</v>
      </c>
      <c r="E94" s="573" t="s">
        <v>108</v>
      </c>
      <c r="F94" s="398" t="s">
        <v>118</v>
      </c>
      <c r="G94" s="398" t="s">
        <v>115</v>
      </c>
      <c r="H94" s="399">
        <f t="shared" si="3"/>
        <v>30000</v>
      </c>
      <c r="I94" s="397">
        <v>30000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51" hidden="1">
      <c r="A95" s="82" t="s">
        <v>237</v>
      </c>
      <c r="B95" s="9"/>
      <c r="C95" s="83" t="s">
        <v>18</v>
      </c>
      <c r="D95" s="9" t="s">
        <v>81</v>
      </c>
      <c r="E95" s="83" t="s">
        <v>124</v>
      </c>
      <c r="F95" s="84" t="s">
        <v>238</v>
      </c>
      <c r="G95" s="84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/>
    </row>
    <row r="96" spans="1:15" s="25" customFormat="1" ht="38.25" hidden="1">
      <c r="A96" s="82" t="s">
        <v>239</v>
      </c>
      <c r="B96" s="9"/>
      <c r="C96" s="83" t="s">
        <v>18</v>
      </c>
      <c r="D96" s="9" t="s">
        <v>81</v>
      </c>
      <c r="E96" s="83" t="s">
        <v>124</v>
      </c>
      <c r="F96" s="84" t="s">
        <v>240</v>
      </c>
      <c r="G96" s="84" t="s">
        <v>115</v>
      </c>
      <c r="H96" s="126">
        <f t="shared" si="3"/>
        <v>0</v>
      </c>
      <c r="I96" s="78"/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/>
    </row>
    <row r="97" spans="1:15" s="25" customFormat="1" ht="25.5">
      <c r="A97" s="85" t="s">
        <v>248</v>
      </c>
      <c r="B97" s="9"/>
      <c r="C97" s="398" t="s">
        <v>20</v>
      </c>
      <c r="D97" s="398" t="s">
        <v>81</v>
      </c>
      <c r="E97" s="573" t="s">
        <v>108</v>
      </c>
      <c r="F97" s="573" t="s">
        <v>247</v>
      </c>
      <c r="G97" s="573" t="s">
        <v>115</v>
      </c>
      <c r="H97" s="399">
        <f t="shared" si="3"/>
        <v>64028.33</v>
      </c>
      <c r="I97" s="397">
        <f>10000+10000+15000-15000+10100+33928.33</f>
        <v>64028.33</v>
      </c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/>
    </row>
    <row r="98" spans="1:15" s="25" customFormat="1" ht="25.5">
      <c r="A98" s="22" t="s">
        <v>241</v>
      </c>
      <c r="B98" s="9"/>
      <c r="C98" s="9" t="s">
        <v>20</v>
      </c>
      <c r="D98" s="9" t="s">
        <v>81</v>
      </c>
      <c r="E98" s="9" t="s">
        <v>108</v>
      </c>
      <c r="F98" s="9" t="s">
        <v>242</v>
      </c>
      <c r="G98" s="9" t="s">
        <v>115</v>
      </c>
      <c r="H98" s="126">
        <f t="shared" si="3"/>
        <v>38000</v>
      </c>
      <c r="I98" s="78">
        <f>33100+15000-10100</f>
        <v>38000</v>
      </c>
      <c r="J98" s="78"/>
      <c r="K98" s="107" t="s">
        <v>76</v>
      </c>
      <c r="L98" s="107" t="s">
        <v>76</v>
      </c>
      <c r="M98" s="107" t="s">
        <v>76</v>
      </c>
      <c r="N98" s="107" t="s">
        <v>76</v>
      </c>
      <c r="O98" s="6"/>
    </row>
    <row r="99" spans="1:15" s="25" customFormat="1" ht="25.5" hidden="1">
      <c r="A99" s="85" t="s">
        <v>243</v>
      </c>
      <c r="B99" s="57"/>
      <c r="C99" s="9" t="s">
        <v>20</v>
      </c>
      <c r="D99" s="9" t="s">
        <v>81</v>
      </c>
      <c r="E99" s="9" t="s">
        <v>108</v>
      </c>
      <c r="F99" s="9" t="s">
        <v>244</v>
      </c>
      <c r="G99" s="9" t="s">
        <v>115</v>
      </c>
      <c r="H99" s="126">
        <f t="shared" si="3"/>
        <v>0</v>
      </c>
      <c r="I99" s="78">
        <f>10000-10000</f>
        <v>0</v>
      </c>
      <c r="J99" s="78"/>
      <c r="K99" s="107" t="s">
        <v>76</v>
      </c>
      <c r="L99" s="107" t="s">
        <v>76</v>
      </c>
      <c r="M99" s="107" t="s">
        <v>76</v>
      </c>
      <c r="N99" s="107" t="s">
        <v>76</v>
      </c>
      <c r="O99" s="6"/>
    </row>
    <row r="100" spans="1:15" s="25" customFormat="1" ht="12.75" hidden="1">
      <c r="A100" s="22"/>
      <c r="B100" s="9"/>
      <c r="C100" s="9"/>
      <c r="D100" s="9"/>
      <c r="E100" s="9"/>
      <c r="F100" s="9"/>
      <c r="G100" s="9"/>
      <c r="H100" s="126"/>
      <c r="I100" s="78"/>
      <c r="J100" s="78"/>
      <c r="K100" s="107"/>
      <c r="L100" s="107"/>
      <c r="M100" s="107"/>
      <c r="N100" s="107"/>
      <c r="O100" s="6"/>
    </row>
    <row r="101" spans="1:15" s="25" customFormat="1" ht="12.75" hidden="1">
      <c r="A101" s="22"/>
      <c r="B101" s="9"/>
      <c r="C101" s="9"/>
      <c r="D101" s="9"/>
      <c r="E101" s="9"/>
      <c r="F101" s="9"/>
      <c r="G101" s="9"/>
      <c r="H101" s="126"/>
      <c r="I101" s="78"/>
      <c r="J101" s="78"/>
      <c r="K101" s="107"/>
      <c r="L101" s="107"/>
      <c r="M101" s="107"/>
      <c r="N101" s="107"/>
      <c r="O101" s="6"/>
    </row>
    <row r="102" spans="1:15" s="25" customFormat="1" ht="12.75" hidden="1">
      <c r="A102" s="22" t="s">
        <v>188</v>
      </c>
      <c r="B102" s="9"/>
      <c r="C102" s="9" t="s">
        <v>20</v>
      </c>
      <c r="D102" s="9" t="s">
        <v>81</v>
      </c>
      <c r="E102" s="9" t="s">
        <v>108</v>
      </c>
      <c r="F102" s="9" t="s">
        <v>119</v>
      </c>
      <c r="G102" s="9" t="s">
        <v>115</v>
      </c>
      <c r="H102" s="126">
        <f>I102</f>
        <v>0</v>
      </c>
      <c r="I102" s="78"/>
      <c r="J102" s="78"/>
      <c r="K102" s="107" t="s">
        <v>76</v>
      </c>
      <c r="L102" s="107" t="s">
        <v>76</v>
      </c>
      <c r="M102" s="107" t="s">
        <v>76</v>
      </c>
      <c r="N102" s="107" t="s">
        <v>76</v>
      </c>
      <c r="O102" s="6" t="s">
        <v>76</v>
      </c>
    </row>
    <row r="103" spans="1:15" s="25" customFormat="1" ht="13.5">
      <c r="A103" s="681" t="s">
        <v>125</v>
      </c>
      <c r="B103" s="683"/>
      <c r="C103" s="27" t="s">
        <v>21</v>
      </c>
      <c r="D103" s="3"/>
      <c r="E103" s="27"/>
      <c r="F103" s="3"/>
      <c r="G103" s="3"/>
      <c r="H103" s="124">
        <f>K103</f>
        <v>687276</v>
      </c>
      <c r="I103" s="98"/>
      <c r="J103" s="97"/>
      <c r="K103" s="97">
        <f>K106</f>
        <v>687276</v>
      </c>
      <c r="L103" s="110"/>
      <c r="M103" s="110"/>
      <c r="N103" s="111" t="s">
        <v>107</v>
      </c>
      <c r="O103" s="28"/>
    </row>
    <row r="104" spans="1:15" s="25" customFormat="1" ht="12.75" hidden="1">
      <c r="A104" s="22" t="s">
        <v>4</v>
      </c>
      <c r="B104" s="9"/>
      <c r="C104" s="9"/>
      <c r="D104" s="9"/>
      <c r="E104" s="9"/>
      <c r="F104" s="9" t="s">
        <v>99</v>
      </c>
      <c r="G104" s="9" t="s">
        <v>109</v>
      </c>
      <c r="H104" s="126">
        <f>I104</f>
        <v>0</v>
      </c>
      <c r="I104" s="78"/>
      <c r="J104" s="78"/>
      <c r="K104" s="116" t="s">
        <v>76</v>
      </c>
      <c r="L104" s="107" t="s">
        <v>76</v>
      </c>
      <c r="M104" s="107" t="s">
        <v>76</v>
      </c>
      <c r="N104" s="107" t="s">
        <v>76</v>
      </c>
      <c r="O104" s="6" t="s">
        <v>76</v>
      </c>
    </row>
    <row r="105" spans="1:15" s="25" customFormat="1" ht="12.75" hidden="1">
      <c r="A105" s="22" t="s">
        <v>5</v>
      </c>
      <c r="B105" s="9"/>
      <c r="C105" s="9"/>
      <c r="D105" s="9"/>
      <c r="E105" s="9"/>
      <c r="F105" s="9"/>
      <c r="G105" s="9"/>
      <c r="H105" s="126">
        <f>I105</f>
        <v>0</v>
      </c>
      <c r="I105" s="78"/>
      <c r="J105" s="78"/>
      <c r="K105" s="116" t="s">
        <v>76</v>
      </c>
      <c r="L105" s="107" t="s">
        <v>76</v>
      </c>
      <c r="M105" s="107" t="s">
        <v>76</v>
      </c>
      <c r="N105" s="107" t="s">
        <v>76</v>
      </c>
      <c r="O105" s="6" t="s">
        <v>76</v>
      </c>
    </row>
    <row r="106" spans="1:15" s="25" customFormat="1" ht="13.5">
      <c r="A106" s="22" t="s">
        <v>12</v>
      </c>
      <c r="B106" s="9"/>
      <c r="C106" s="576" t="s">
        <v>21</v>
      </c>
      <c r="D106" s="398" t="s">
        <v>89</v>
      </c>
      <c r="E106" s="398" t="s">
        <v>126</v>
      </c>
      <c r="F106" s="398" t="s">
        <v>116</v>
      </c>
      <c r="G106" s="398" t="s">
        <v>115</v>
      </c>
      <c r="H106" s="399">
        <f aca="true" t="shared" si="4" ref="H106:H121">K106</f>
        <v>687276</v>
      </c>
      <c r="I106" s="400" t="s">
        <v>76</v>
      </c>
      <c r="J106" s="397"/>
      <c r="K106" s="577">
        <f>676900-23560+30400+3536</f>
        <v>687276</v>
      </c>
      <c r="L106" s="107" t="s">
        <v>76</v>
      </c>
      <c r="M106" s="107" t="s">
        <v>76</v>
      </c>
      <c r="N106" s="107" t="s">
        <v>76</v>
      </c>
      <c r="O106" s="6" t="s">
        <v>76</v>
      </c>
    </row>
    <row r="107" spans="1:15" s="25" customFormat="1" ht="18.75" customHeight="1" hidden="1">
      <c r="A107" s="687" t="s">
        <v>127</v>
      </c>
      <c r="B107" s="688"/>
      <c r="C107" s="27" t="s">
        <v>22</v>
      </c>
      <c r="D107" s="3"/>
      <c r="E107" s="3"/>
      <c r="F107" s="3"/>
      <c r="G107" s="3"/>
      <c r="H107" s="131">
        <f t="shared" si="4"/>
        <v>0</v>
      </c>
      <c r="I107" s="117"/>
      <c r="J107" s="110"/>
      <c r="K107" s="118">
        <f>K108</f>
        <v>0</v>
      </c>
      <c r="L107" s="117"/>
      <c r="M107" s="117"/>
      <c r="N107" s="117"/>
      <c r="O107" s="6"/>
    </row>
    <row r="108" spans="1:15" s="25" customFormat="1" ht="13.5" customHeight="1" hidden="1">
      <c r="A108" s="22" t="s">
        <v>12</v>
      </c>
      <c r="B108" s="40"/>
      <c r="C108" s="41" t="s">
        <v>22</v>
      </c>
      <c r="D108" s="9" t="s">
        <v>81</v>
      </c>
      <c r="E108" s="9" t="s">
        <v>108</v>
      </c>
      <c r="F108" s="9" t="s">
        <v>116</v>
      </c>
      <c r="G108" s="9" t="s">
        <v>115</v>
      </c>
      <c r="H108" s="126">
        <f t="shared" si="4"/>
        <v>0</v>
      </c>
      <c r="I108" s="107" t="s">
        <v>76</v>
      </c>
      <c r="J108" s="78"/>
      <c r="K108" s="116"/>
      <c r="L108" s="107"/>
      <c r="M108" s="107"/>
      <c r="N108" s="107" t="s">
        <v>76</v>
      </c>
      <c r="O108" s="6"/>
    </row>
    <row r="109" spans="1:15" s="25" customFormat="1" ht="28.5" customHeight="1">
      <c r="A109" s="39" t="s">
        <v>190</v>
      </c>
      <c r="B109" s="55"/>
      <c r="C109" s="27" t="s">
        <v>41</v>
      </c>
      <c r="D109" s="3"/>
      <c r="E109" s="3"/>
      <c r="F109" s="3"/>
      <c r="G109" s="3"/>
      <c r="H109" s="124">
        <f t="shared" si="4"/>
        <v>24000</v>
      </c>
      <c r="I109" s="119"/>
      <c r="J109" s="97"/>
      <c r="K109" s="120">
        <f>K110</f>
        <v>24000</v>
      </c>
      <c r="L109" s="117"/>
      <c r="M109" s="117"/>
      <c r="N109" s="117"/>
      <c r="O109" s="6"/>
    </row>
    <row r="110" spans="1:15" s="25" customFormat="1" ht="12.75">
      <c r="A110" s="22" t="s">
        <v>12</v>
      </c>
      <c r="B110" s="40"/>
      <c r="C110" s="9" t="s">
        <v>41</v>
      </c>
      <c r="D110" s="9" t="s">
        <v>81</v>
      </c>
      <c r="E110" s="9" t="s">
        <v>154</v>
      </c>
      <c r="F110" s="9" t="s">
        <v>116</v>
      </c>
      <c r="G110" s="9" t="s">
        <v>115</v>
      </c>
      <c r="H110" s="126">
        <f t="shared" si="4"/>
        <v>24000</v>
      </c>
      <c r="I110" s="107" t="s">
        <v>76</v>
      </c>
      <c r="J110" s="78"/>
      <c r="K110" s="116">
        <v>24000</v>
      </c>
      <c r="L110" s="107"/>
      <c r="M110" s="107"/>
      <c r="N110" s="107" t="s">
        <v>76</v>
      </c>
      <c r="O110" s="6"/>
    </row>
    <row r="111" spans="1:15" s="25" customFormat="1" ht="36" customHeight="1">
      <c r="A111" s="681" t="s">
        <v>374</v>
      </c>
      <c r="B111" s="683"/>
      <c r="C111" s="27" t="s">
        <v>373</v>
      </c>
      <c r="D111" s="3"/>
      <c r="E111" s="3"/>
      <c r="F111" s="3"/>
      <c r="G111" s="3"/>
      <c r="H111" s="435">
        <f t="shared" si="4"/>
        <v>60000</v>
      </c>
      <c r="I111" s="436" t="s">
        <v>76</v>
      </c>
      <c r="J111" s="437"/>
      <c r="K111" s="435">
        <f>SUM(K112:K115)</f>
        <v>60000</v>
      </c>
      <c r="L111" s="435">
        <f>SUM(L112:L115)</f>
        <v>0</v>
      </c>
      <c r="M111" s="435">
        <f>SUM(M112:M115)</f>
        <v>0</v>
      </c>
      <c r="N111" s="435"/>
      <c r="O111" s="6"/>
    </row>
    <row r="112" spans="1:15" s="25" customFormat="1" ht="12.75">
      <c r="A112" s="8" t="s">
        <v>335</v>
      </c>
      <c r="B112" s="40"/>
      <c r="C112" s="60" t="s">
        <v>373</v>
      </c>
      <c r="D112" s="434" t="s">
        <v>332</v>
      </c>
      <c r="E112" s="9" t="s">
        <v>108</v>
      </c>
      <c r="F112" s="9" t="s">
        <v>116</v>
      </c>
      <c r="G112" s="9" t="s">
        <v>115</v>
      </c>
      <c r="H112" s="433">
        <f t="shared" si="4"/>
        <v>43200</v>
      </c>
      <c r="I112" s="107"/>
      <c r="J112" s="78"/>
      <c r="K112" s="116">
        <v>43200</v>
      </c>
      <c r="L112" s="107"/>
      <c r="M112" s="107"/>
      <c r="N112" s="107"/>
      <c r="O112" s="6"/>
    </row>
    <row r="113" spans="1:15" s="25" customFormat="1" ht="12.75">
      <c r="A113" s="8" t="s">
        <v>336</v>
      </c>
      <c r="B113" s="40"/>
      <c r="C113" s="60" t="s">
        <v>373</v>
      </c>
      <c r="D113" s="434" t="s">
        <v>214</v>
      </c>
      <c r="E113" s="9" t="s">
        <v>108</v>
      </c>
      <c r="F113" s="9" t="s">
        <v>116</v>
      </c>
      <c r="G113" s="9" t="s">
        <v>115</v>
      </c>
      <c r="H113" s="433">
        <f t="shared" si="4"/>
        <v>4800</v>
      </c>
      <c r="I113" s="107"/>
      <c r="J113" s="78"/>
      <c r="K113" s="116">
        <v>4800</v>
      </c>
      <c r="L113" s="107"/>
      <c r="M113" s="107"/>
      <c r="N113" s="107"/>
      <c r="O113" s="6"/>
    </row>
    <row r="114" spans="1:15" s="25" customFormat="1" ht="12.75">
      <c r="A114" s="8" t="s">
        <v>336</v>
      </c>
      <c r="B114" s="40"/>
      <c r="C114" s="60" t="s">
        <v>373</v>
      </c>
      <c r="D114" s="434" t="s">
        <v>333</v>
      </c>
      <c r="E114" s="9" t="s">
        <v>108</v>
      </c>
      <c r="F114" s="9" t="s">
        <v>116</v>
      </c>
      <c r="G114" s="9" t="s">
        <v>115</v>
      </c>
      <c r="H114" s="433">
        <f t="shared" si="4"/>
        <v>10800</v>
      </c>
      <c r="I114" s="107"/>
      <c r="J114" s="78"/>
      <c r="K114" s="116">
        <v>10800</v>
      </c>
      <c r="L114" s="107"/>
      <c r="M114" s="107"/>
      <c r="N114" s="107"/>
      <c r="O114" s="6"/>
    </row>
    <row r="115" spans="1:15" s="25" customFormat="1" ht="12.75">
      <c r="A115" s="8" t="s">
        <v>337</v>
      </c>
      <c r="B115" s="40"/>
      <c r="C115" s="60" t="s">
        <v>373</v>
      </c>
      <c r="D115" s="434" t="s">
        <v>216</v>
      </c>
      <c r="E115" s="9" t="s">
        <v>108</v>
      </c>
      <c r="F115" s="9" t="s">
        <v>116</v>
      </c>
      <c r="G115" s="9" t="s">
        <v>115</v>
      </c>
      <c r="H115" s="433">
        <f t="shared" si="4"/>
        <v>1200</v>
      </c>
      <c r="I115" s="107"/>
      <c r="J115" s="78"/>
      <c r="K115" s="116">
        <v>1200</v>
      </c>
      <c r="L115" s="107"/>
      <c r="M115" s="107"/>
      <c r="N115" s="107"/>
      <c r="O115" s="6"/>
    </row>
    <row r="116" spans="1:15" s="25" customFormat="1" ht="41.25" customHeight="1">
      <c r="A116" s="681" t="s">
        <v>334</v>
      </c>
      <c r="B116" s="683"/>
      <c r="C116" s="27" t="s">
        <v>211</v>
      </c>
      <c r="D116" s="3"/>
      <c r="E116" s="3"/>
      <c r="F116" s="3"/>
      <c r="G116" s="3"/>
      <c r="H116" s="124">
        <f t="shared" si="4"/>
        <v>224673</v>
      </c>
      <c r="I116" s="117" t="s">
        <v>76</v>
      </c>
      <c r="J116" s="110"/>
      <c r="K116" s="97">
        <f>SUM(K117:K121)</f>
        <v>224673</v>
      </c>
      <c r="L116" s="117"/>
      <c r="M116" s="117"/>
      <c r="N116" s="117" t="s">
        <v>76</v>
      </c>
      <c r="O116" s="6"/>
    </row>
    <row r="117" spans="1:15" s="25" customFormat="1" ht="12.75">
      <c r="A117" s="22" t="s">
        <v>12</v>
      </c>
      <c r="B117" s="57"/>
      <c r="C117" s="9" t="s">
        <v>204</v>
      </c>
      <c r="D117" s="9" t="s">
        <v>81</v>
      </c>
      <c r="E117" s="9" t="s">
        <v>108</v>
      </c>
      <c r="F117" s="9" t="s">
        <v>116</v>
      </c>
      <c r="G117" s="9" t="s">
        <v>115</v>
      </c>
      <c r="H117" s="126">
        <f t="shared" si="4"/>
        <v>80000</v>
      </c>
      <c r="I117" s="107" t="s">
        <v>76</v>
      </c>
      <c r="J117" s="107"/>
      <c r="K117" s="116">
        <v>80000</v>
      </c>
      <c r="L117" s="107"/>
      <c r="M117" s="107"/>
      <c r="N117" s="107" t="s">
        <v>76</v>
      </c>
      <c r="O117" s="6"/>
    </row>
    <row r="118" spans="1:15" s="25" customFormat="1" ht="12.75">
      <c r="A118" s="22" t="s">
        <v>14</v>
      </c>
      <c r="B118" s="9"/>
      <c r="C118" s="398" t="s">
        <v>211</v>
      </c>
      <c r="D118" s="398" t="s">
        <v>81</v>
      </c>
      <c r="E118" s="398" t="s">
        <v>108</v>
      </c>
      <c r="F118" s="398" t="s">
        <v>118</v>
      </c>
      <c r="G118" s="398" t="s">
        <v>115</v>
      </c>
      <c r="H118" s="399">
        <f t="shared" si="4"/>
        <v>144673</v>
      </c>
      <c r="I118" s="400" t="s">
        <v>76</v>
      </c>
      <c r="J118" s="397"/>
      <c r="K118" s="558">
        <f>24673+120000</f>
        <v>144673</v>
      </c>
      <c r="L118" s="107"/>
      <c r="M118" s="107"/>
      <c r="N118" s="107" t="s">
        <v>76</v>
      </c>
      <c r="O118" s="64" t="s">
        <v>76</v>
      </c>
    </row>
    <row r="119" spans="1:15" s="25" customFormat="1" ht="12.75">
      <c r="A119" s="8" t="s">
        <v>336</v>
      </c>
      <c r="B119" s="9"/>
      <c r="C119" s="9" t="s">
        <v>211</v>
      </c>
      <c r="D119" s="393" t="s">
        <v>214</v>
      </c>
      <c r="E119" s="9" t="s">
        <v>108</v>
      </c>
      <c r="F119" s="9" t="s">
        <v>116</v>
      </c>
      <c r="G119" s="9" t="s">
        <v>115</v>
      </c>
      <c r="H119" s="126">
        <f t="shared" si="4"/>
        <v>0</v>
      </c>
      <c r="I119" s="107" t="s">
        <v>76</v>
      </c>
      <c r="J119" s="78"/>
      <c r="K119" s="78"/>
      <c r="L119" s="107"/>
      <c r="M119" s="107"/>
      <c r="N119" s="107" t="s">
        <v>76</v>
      </c>
      <c r="O119" s="6"/>
    </row>
    <row r="120" spans="1:15" s="25" customFormat="1" ht="12.75">
      <c r="A120" s="8" t="s">
        <v>336</v>
      </c>
      <c r="B120" s="9"/>
      <c r="C120" s="9" t="s">
        <v>211</v>
      </c>
      <c r="D120" s="393" t="s">
        <v>333</v>
      </c>
      <c r="E120" s="9" t="s">
        <v>108</v>
      </c>
      <c r="F120" s="9" t="s">
        <v>116</v>
      </c>
      <c r="G120" s="9" t="s">
        <v>115</v>
      </c>
      <c r="H120" s="126">
        <f t="shared" si="4"/>
        <v>0</v>
      </c>
      <c r="I120" s="107" t="s">
        <v>76</v>
      </c>
      <c r="J120" s="78"/>
      <c r="K120" s="78"/>
      <c r="L120" s="107"/>
      <c r="M120" s="107"/>
      <c r="N120" s="107" t="s">
        <v>76</v>
      </c>
      <c r="O120" s="6"/>
    </row>
    <row r="121" spans="1:15" s="25" customFormat="1" ht="12.75">
      <c r="A121" s="8" t="s">
        <v>337</v>
      </c>
      <c r="B121" s="9"/>
      <c r="C121" s="9" t="s">
        <v>211</v>
      </c>
      <c r="D121" s="393" t="s">
        <v>216</v>
      </c>
      <c r="E121" s="9" t="s">
        <v>108</v>
      </c>
      <c r="F121" s="9" t="s">
        <v>116</v>
      </c>
      <c r="G121" s="9" t="s">
        <v>115</v>
      </c>
      <c r="H121" s="126">
        <f t="shared" si="4"/>
        <v>0</v>
      </c>
      <c r="I121" s="107" t="s">
        <v>76</v>
      </c>
      <c r="J121" s="78"/>
      <c r="K121" s="78"/>
      <c r="L121" s="107"/>
      <c r="M121" s="107"/>
      <c r="N121" s="107" t="s">
        <v>76</v>
      </c>
      <c r="O121" s="6"/>
    </row>
    <row r="122" spans="1:15" s="25" customFormat="1" ht="41.25" customHeight="1">
      <c r="A122" s="681" t="s">
        <v>360</v>
      </c>
      <c r="B122" s="683"/>
      <c r="C122" s="27" t="s">
        <v>51</v>
      </c>
      <c r="D122" s="43"/>
      <c r="E122" s="42"/>
      <c r="F122" s="42"/>
      <c r="G122" s="42"/>
      <c r="H122" s="124"/>
      <c r="I122" s="119"/>
      <c r="J122" s="97"/>
      <c r="K122" s="120">
        <f>SUM(K124:K133)</f>
        <v>516025.7</v>
      </c>
      <c r="L122" s="119"/>
      <c r="M122" s="119"/>
      <c r="N122" s="119"/>
      <c r="O122" s="6"/>
    </row>
    <row r="123" spans="1:15" s="25" customFormat="1" ht="12.75" hidden="1">
      <c r="A123" s="61" t="s">
        <v>11</v>
      </c>
      <c r="B123" s="59"/>
      <c r="C123" s="59" t="s">
        <v>51</v>
      </c>
      <c r="D123" s="59" t="s">
        <v>81</v>
      </c>
      <c r="E123" s="59" t="s">
        <v>218</v>
      </c>
      <c r="F123" s="59" t="s">
        <v>121</v>
      </c>
      <c r="G123" s="59" t="s">
        <v>115</v>
      </c>
      <c r="H123" s="127">
        <f aca="true" t="shared" si="5" ref="H123:H133">K123</f>
        <v>0</v>
      </c>
      <c r="I123" s="101" t="s">
        <v>76</v>
      </c>
      <c r="J123" s="102"/>
      <c r="K123" s="104"/>
      <c r="L123" s="102"/>
      <c r="M123" s="100"/>
      <c r="N123" s="101" t="s">
        <v>76</v>
      </c>
      <c r="O123" s="6"/>
    </row>
    <row r="124" spans="1:15" s="25" customFormat="1" ht="12.75">
      <c r="A124" s="691" t="s">
        <v>12</v>
      </c>
      <c r="B124" s="9"/>
      <c r="C124" s="693" t="s">
        <v>51</v>
      </c>
      <c r="D124" s="9" t="s">
        <v>81</v>
      </c>
      <c r="E124" s="693" t="s">
        <v>218</v>
      </c>
      <c r="F124" s="693" t="s">
        <v>116</v>
      </c>
      <c r="G124" s="693" t="s">
        <v>115</v>
      </c>
      <c r="H124" s="126">
        <f t="shared" si="5"/>
        <v>201123.7</v>
      </c>
      <c r="I124" s="107" t="s">
        <v>76</v>
      </c>
      <c r="J124" s="107"/>
      <c r="K124" s="116">
        <f>195152.7+2985.5+2985.5</f>
        <v>201123.7</v>
      </c>
      <c r="L124" s="107"/>
      <c r="M124" s="107"/>
      <c r="N124" s="107" t="s">
        <v>76</v>
      </c>
      <c r="O124" s="6"/>
    </row>
    <row r="125" spans="1:15" s="25" customFormat="1" ht="12.75">
      <c r="A125" s="696"/>
      <c r="B125" s="9"/>
      <c r="C125" s="697"/>
      <c r="D125" s="9" t="s">
        <v>219</v>
      </c>
      <c r="E125" s="697"/>
      <c r="F125" s="697"/>
      <c r="G125" s="697"/>
      <c r="H125" s="126">
        <f t="shared" si="5"/>
        <v>188911.8</v>
      </c>
      <c r="I125" s="107" t="s">
        <v>76</v>
      </c>
      <c r="J125" s="107"/>
      <c r="K125" s="116">
        <f>148024.8+20443.5+20443.5</f>
        <v>188911.8</v>
      </c>
      <c r="L125" s="107"/>
      <c r="M125" s="107"/>
      <c r="N125" s="107" t="s">
        <v>76</v>
      </c>
      <c r="O125" s="6"/>
    </row>
    <row r="126" spans="1:15" s="25" customFormat="1" ht="12.75">
      <c r="A126" s="692"/>
      <c r="B126" s="9"/>
      <c r="C126" s="694"/>
      <c r="D126" s="9" t="s">
        <v>196</v>
      </c>
      <c r="E126" s="694"/>
      <c r="F126" s="694"/>
      <c r="G126" s="694"/>
      <c r="H126" s="126">
        <f t="shared" si="5"/>
        <v>12136.6</v>
      </c>
      <c r="I126" s="107" t="s">
        <v>76</v>
      </c>
      <c r="J126" s="107"/>
      <c r="K126" s="116">
        <f>7593.6+2271.5+2271.5</f>
        <v>12136.6</v>
      </c>
      <c r="L126" s="107"/>
      <c r="M126" s="107"/>
      <c r="N126" s="107" t="s">
        <v>76</v>
      </c>
      <c r="O126" s="6"/>
    </row>
    <row r="127" spans="1:15" s="25" customFormat="1" ht="12.75">
      <c r="A127" s="431" t="s">
        <v>362</v>
      </c>
      <c r="B127" s="9"/>
      <c r="C127" s="9" t="s">
        <v>51</v>
      </c>
      <c r="D127" s="9" t="s">
        <v>196</v>
      </c>
      <c r="E127" s="9" t="s">
        <v>218</v>
      </c>
      <c r="F127" s="9" t="s">
        <v>361</v>
      </c>
      <c r="G127" s="9" t="s">
        <v>115</v>
      </c>
      <c r="H127" s="126">
        <f t="shared" si="5"/>
        <v>2272.2</v>
      </c>
      <c r="I127" s="107" t="s">
        <v>76</v>
      </c>
      <c r="J127" s="107"/>
      <c r="K127" s="116">
        <v>2272.2</v>
      </c>
      <c r="L127" s="107"/>
      <c r="M127" s="107"/>
      <c r="N127" s="107" t="s">
        <v>76</v>
      </c>
      <c r="O127" s="6"/>
    </row>
    <row r="128" spans="1:15" s="25" customFormat="1" ht="39.75" customHeight="1">
      <c r="A128" s="431" t="s">
        <v>363</v>
      </c>
      <c r="B128" s="9"/>
      <c r="C128" s="9" t="s">
        <v>51</v>
      </c>
      <c r="D128" s="9" t="s">
        <v>196</v>
      </c>
      <c r="E128" s="9" t="s">
        <v>218</v>
      </c>
      <c r="F128" s="9" t="s">
        <v>240</v>
      </c>
      <c r="G128" s="9" t="s">
        <v>115</v>
      </c>
      <c r="H128" s="126">
        <f t="shared" si="5"/>
        <v>2625</v>
      </c>
      <c r="I128" s="107" t="s">
        <v>76</v>
      </c>
      <c r="J128" s="107"/>
      <c r="K128" s="78">
        <v>2625</v>
      </c>
      <c r="L128" s="107"/>
      <c r="M128" s="107"/>
      <c r="N128" s="107" t="s">
        <v>76</v>
      </c>
      <c r="O128" s="6"/>
    </row>
    <row r="129" spans="1:15" s="25" customFormat="1" ht="16.5" customHeight="1">
      <c r="A129" s="583" t="s">
        <v>14</v>
      </c>
      <c r="B129" s="398"/>
      <c r="C129" s="398" t="s">
        <v>51</v>
      </c>
      <c r="D129" s="398" t="s">
        <v>228</v>
      </c>
      <c r="E129" s="398" t="s">
        <v>218</v>
      </c>
      <c r="F129" s="398" t="s">
        <v>118</v>
      </c>
      <c r="G129" s="398" t="s">
        <v>115</v>
      </c>
      <c r="H129" s="399">
        <f t="shared" si="5"/>
        <v>105000</v>
      </c>
      <c r="I129" s="400" t="s">
        <v>76</v>
      </c>
      <c r="J129" s="400"/>
      <c r="K129" s="579">
        <v>105000</v>
      </c>
      <c r="L129" s="400"/>
      <c r="M129" s="400"/>
      <c r="N129" s="400" t="s">
        <v>76</v>
      </c>
      <c r="O129" s="6"/>
    </row>
    <row r="130" spans="1:15" s="25" customFormat="1" ht="28.5" customHeight="1">
      <c r="A130" s="431" t="s">
        <v>364</v>
      </c>
      <c r="B130" s="9"/>
      <c r="C130" s="9" t="s">
        <v>51</v>
      </c>
      <c r="D130" s="9" t="s">
        <v>196</v>
      </c>
      <c r="E130" s="9" t="s">
        <v>218</v>
      </c>
      <c r="F130" s="9" t="s">
        <v>242</v>
      </c>
      <c r="G130" s="9" t="s">
        <v>115</v>
      </c>
      <c r="H130" s="126">
        <f t="shared" si="5"/>
        <v>3956.4</v>
      </c>
      <c r="I130" s="107" t="s">
        <v>76</v>
      </c>
      <c r="J130" s="107"/>
      <c r="K130" s="116">
        <v>3956.4</v>
      </c>
      <c r="L130" s="107"/>
      <c r="M130" s="107"/>
      <c r="N130" s="107" t="s">
        <v>76</v>
      </c>
      <c r="O130" s="6"/>
    </row>
    <row r="131" spans="1:15" s="25" customFormat="1" ht="12.75" hidden="1">
      <c r="A131" s="22" t="s">
        <v>359</v>
      </c>
      <c r="B131" s="9"/>
      <c r="C131" s="9" t="s">
        <v>51</v>
      </c>
      <c r="D131" s="9" t="s">
        <v>81</v>
      </c>
      <c r="E131" s="9" t="s">
        <v>218</v>
      </c>
      <c r="F131" s="9" t="s">
        <v>118</v>
      </c>
      <c r="G131" s="9" t="s">
        <v>115</v>
      </c>
      <c r="H131" s="126">
        <f t="shared" si="5"/>
        <v>0</v>
      </c>
      <c r="I131" s="107" t="s">
        <v>76</v>
      </c>
      <c r="J131" s="107"/>
      <c r="K131" s="116"/>
      <c r="L131" s="101"/>
      <c r="M131" s="101"/>
      <c r="N131" s="101" t="s">
        <v>76</v>
      </c>
      <c r="O131" s="6"/>
    </row>
    <row r="132" spans="1:15" s="25" customFormat="1" ht="12.75" hidden="1">
      <c r="A132" s="684" t="s">
        <v>221</v>
      </c>
      <c r="B132" s="9"/>
      <c r="C132" s="678" t="s">
        <v>51</v>
      </c>
      <c r="D132" s="9" t="s">
        <v>81</v>
      </c>
      <c r="E132" s="678" t="s">
        <v>218</v>
      </c>
      <c r="F132" s="678" t="s">
        <v>119</v>
      </c>
      <c r="G132" s="678" t="s">
        <v>115</v>
      </c>
      <c r="H132" s="126">
        <f t="shared" si="5"/>
        <v>0</v>
      </c>
      <c r="I132" s="107" t="s">
        <v>76</v>
      </c>
      <c r="J132" s="107"/>
      <c r="K132" s="116"/>
      <c r="L132" s="101"/>
      <c r="M132" s="101"/>
      <c r="N132" s="101" t="s">
        <v>76</v>
      </c>
      <c r="O132" s="6"/>
    </row>
    <row r="133" spans="1:15" s="25" customFormat="1" ht="12.75" hidden="1">
      <c r="A133" s="686"/>
      <c r="B133" s="9"/>
      <c r="C133" s="680"/>
      <c r="D133" s="9" t="s">
        <v>196</v>
      </c>
      <c r="E133" s="680"/>
      <c r="F133" s="680"/>
      <c r="G133" s="680"/>
      <c r="H133" s="126">
        <f t="shared" si="5"/>
        <v>0</v>
      </c>
      <c r="I133" s="107" t="s">
        <v>76</v>
      </c>
      <c r="J133" s="107"/>
      <c r="K133" s="116"/>
      <c r="L133" s="101"/>
      <c r="M133" s="101"/>
      <c r="N133" s="101" t="s">
        <v>76</v>
      </c>
      <c r="O133" s="6"/>
    </row>
    <row r="134" spans="1:15" s="25" customFormat="1" ht="15" customHeight="1">
      <c r="A134" s="681" t="s">
        <v>210</v>
      </c>
      <c r="B134" s="683"/>
      <c r="C134" s="27" t="s">
        <v>163</v>
      </c>
      <c r="D134" s="44"/>
      <c r="E134" s="3"/>
      <c r="F134" s="3"/>
      <c r="G134" s="3"/>
      <c r="H134" s="131"/>
      <c r="I134" s="117"/>
      <c r="J134" s="110"/>
      <c r="K134" s="120">
        <f>K135+K136</f>
        <v>950000</v>
      </c>
      <c r="L134" s="117"/>
      <c r="M134" s="117"/>
      <c r="N134" s="117"/>
      <c r="O134" s="6"/>
    </row>
    <row r="135" spans="1:15" s="25" customFormat="1" ht="15.75" customHeight="1">
      <c r="A135" s="22" t="s">
        <v>11</v>
      </c>
      <c r="B135" s="40"/>
      <c r="C135" s="41" t="s">
        <v>163</v>
      </c>
      <c r="D135" s="6" t="s">
        <v>162</v>
      </c>
      <c r="E135" s="9" t="s">
        <v>157</v>
      </c>
      <c r="F135" s="46">
        <v>225</v>
      </c>
      <c r="G135" s="9" t="s">
        <v>115</v>
      </c>
      <c r="H135" s="129" t="s">
        <v>76</v>
      </c>
      <c r="I135" s="107" t="s">
        <v>76</v>
      </c>
      <c r="J135" s="78"/>
      <c r="K135" s="116">
        <v>950000</v>
      </c>
      <c r="L135" s="107"/>
      <c r="M135" s="107"/>
      <c r="N135" s="107" t="s">
        <v>76</v>
      </c>
      <c r="O135" s="6"/>
    </row>
    <row r="136" spans="1:15" s="25" customFormat="1" ht="13.5" hidden="1">
      <c r="A136" s="47" t="s">
        <v>14</v>
      </c>
      <c r="B136" s="40"/>
      <c r="C136" s="41" t="s">
        <v>163</v>
      </c>
      <c r="D136" s="6" t="s">
        <v>162</v>
      </c>
      <c r="E136" s="9" t="s">
        <v>157</v>
      </c>
      <c r="F136" s="9" t="s">
        <v>118</v>
      </c>
      <c r="G136" s="9" t="s">
        <v>115</v>
      </c>
      <c r="H136" s="126"/>
      <c r="I136" s="107"/>
      <c r="J136" s="78"/>
      <c r="K136" s="116"/>
      <c r="L136" s="107"/>
      <c r="M136" s="107"/>
      <c r="N136" s="107"/>
      <c r="O136" s="6"/>
    </row>
    <row r="137" spans="1:15" s="25" customFormat="1" ht="15" customHeight="1" hidden="1">
      <c r="A137" s="681" t="s">
        <v>177</v>
      </c>
      <c r="B137" s="683"/>
      <c r="C137" s="27" t="s">
        <v>23</v>
      </c>
      <c r="D137" s="44"/>
      <c r="E137" s="3"/>
      <c r="F137" s="3"/>
      <c r="G137" s="3"/>
      <c r="H137" s="131"/>
      <c r="I137" s="117"/>
      <c r="J137" s="110"/>
      <c r="K137" s="118">
        <f>K138</f>
        <v>0</v>
      </c>
      <c r="L137" s="117"/>
      <c r="M137" s="117"/>
      <c r="N137" s="117"/>
      <c r="O137" s="6"/>
    </row>
    <row r="138" spans="1:15" s="25" customFormat="1" ht="15" customHeight="1" hidden="1">
      <c r="A138" s="22" t="s">
        <v>178</v>
      </c>
      <c r="B138" s="9"/>
      <c r="C138" s="9" t="s">
        <v>23</v>
      </c>
      <c r="D138" s="9" t="s">
        <v>81</v>
      </c>
      <c r="E138" s="9" t="s">
        <v>108</v>
      </c>
      <c r="F138" s="9" t="s">
        <v>116</v>
      </c>
      <c r="G138" s="9" t="s">
        <v>115</v>
      </c>
      <c r="H138" s="126"/>
      <c r="I138" s="107"/>
      <c r="J138" s="78"/>
      <c r="K138" s="116"/>
      <c r="L138" s="107"/>
      <c r="M138" s="107"/>
      <c r="N138" s="107"/>
      <c r="O138" s="6"/>
    </row>
    <row r="139" spans="1:15" s="25" customFormat="1" ht="29.25" customHeight="1" hidden="1">
      <c r="A139" s="681" t="s">
        <v>191</v>
      </c>
      <c r="B139" s="683"/>
      <c r="C139" s="27" t="s">
        <v>192</v>
      </c>
      <c r="D139" s="3"/>
      <c r="E139" s="3"/>
      <c r="F139" s="3"/>
      <c r="G139" s="3"/>
      <c r="H139" s="124">
        <f aca="true" t="shared" si="6" ref="H139:H147">K139</f>
        <v>0</v>
      </c>
      <c r="I139" s="119"/>
      <c r="J139" s="97"/>
      <c r="K139" s="97">
        <f>K140+K141</f>
        <v>0</v>
      </c>
      <c r="L139" s="117"/>
      <c r="M139" s="117"/>
      <c r="N139" s="117"/>
      <c r="O139" s="6"/>
    </row>
    <row r="140" spans="1:15" s="25" customFormat="1" ht="16.5" customHeight="1" hidden="1">
      <c r="A140" s="61" t="s">
        <v>195</v>
      </c>
      <c r="B140" s="67"/>
      <c r="C140" s="59" t="s">
        <v>192</v>
      </c>
      <c r="D140" s="59" t="s">
        <v>193</v>
      </c>
      <c r="E140" s="59" t="s">
        <v>108</v>
      </c>
      <c r="F140" s="59" t="s">
        <v>121</v>
      </c>
      <c r="G140" s="59" t="s">
        <v>194</v>
      </c>
      <c r="H140" s="127">
        <f t="shared" si="6"/>
        <v>0</v>
      </c>
      <c r="I140" s="101" t="s">
        <v>76</v>
      </c>
      <c r="J140" s="100"/>
      <c r="K140" s="104"/>
      <c r="L140" s="101"/>
      <c r="M140" s="101"/>
      <c r="N140" s="101" t="s">
        <v>76</v>
      </c>
      <c r="O140" s="6"/>
    </row>
    <row r="141" spans="1:15" s="25" customFormat="1" ht="16.5" customHeight="1" hidden="1">
      <c r="A141" s="61" t="s">
        <v>195</v>
      </c>
      <c r="B141" s="68"/>
      <c r="C141" s="59" t="s">
        <v>192</v>
      </c>
      <c r="D141" s="59" t="s">
        <v>196</v>
      </c>
      <c r="E141" s="59" t="s">
        <v>108</v>
      </c>
      <c r="F141" s="59" t="s">
        <v>121</v>
      </c>
      <c r="G141" s="59" t="s">
        <v>194</v>
      </c>
      <c r="H141" s="127">
        <f t="shared" si="6"/>
        <v>0</v>
      </c>
      <c r="I141" s="101" t="s">
        <v>76</v>
      </c>
      <c r="J141" s="100"/>
      <c r="K141" s="104"/>
      <c r="L141" s="101"/>
      <c r="M141" s="101"/>
      <c r="N141" s="101" t="s">
        <v>76</v>
      </c>
      <c r="O141" s="6"/>
    </row>
    <row r="142" spans="1:15" s="25" customFormat="1" ht="16.5" customHeight="1">
      <c r="A142" s="39" t="s">
        <v>222</v>
      </c>
      <c r="B142" s="38"/>
      <c r="C142" s="27" t="s">
        <v>203</v>
      </c>
      <c r="D142" s="3"/>
      <c r="E142" s="3"/>
      <c r="F142" s="3"/>
      <c r="G142" s="3"/>
      <c r="H142" s="124">
        <f t="shared" si="6"/>
        <v>392236</v>
      </c>
      <c r="I142" s="117" t="s">
        <v>76</v>
      </c>
      <c r="J142" s="110"/>
      <c r="K142" s="120">
        <f>K143</f>
        <v>392236</v>
      </c>
      <c r="L142" s="117"/>
      <c r="M142" s="117"/>
      <c r="N142" s="117" t="s">
        <v>76</v>
      </c>
      <c r="O142" s="6"/>
    </row>
    <row r="143" spans="1:15" s="25" customFormat="1" ht="15.75" customHeight="1">
      <c r="A143" s="22" t="s">
        <v>236</v>
      </c>
      <c r="B143" s="40"/>
      <c r="C143" s="398" t="s">
        <v>203</v>
      </c>
      <c r="D143" s="398" t="s">
        <v>81</v>
      </c>
      <c r="E143" s="398" t="s">
        <v>108</v>
      </c>
      <c r="F143" s="398" t="s">
        <v>205</v>
      </c>
      <c r="G143" s="398" t="s">
        <v>123</v>
      </c>
      <c r="H143" s="399">
        <f t="shared" si="6"/>
        <v>392236</v>
      </c>
      <c r="I143" s="400" t="s">
        <v>76</v>
      </c>
      <c r="J143" s="397"/>
      <c r="K143" s="582">
        <f>10000+382236</f>
        <v>392236</v>
      </c>
      <c r="L143" s="107"/>
      <c r="M143" s="107"/>
      <c r="N143" s="107" t="s">
        <v>76</v>
      </c>
      <c r="O143" s="6"/>
    </row>
    <row r="144" spans="1:15" s="25" customFormat="1" ht="12.75">
      <c r="A144" s="75" t="s">
        <v>226</v>
      </c>
      <c r="B144" s="58"/>
      <c r="C144" s="42" t="s">
        <v>23</v>
      </c>
      <c r="D144" s="42"/>
      <c r="E144" s="42"/>
      <c r="F144" s="42"/>
      <c r="G144" s="42"/>
      <c r="H144" s="125">
        <f t="shared" si="6"/>
        <v>90100</v>
      </c>
      <c r="I144" s="119"/>
      <c r="J144" s="98"/>
      <c r="K144" s="97">
        <f>K145</f>
        <v>90100</v>
      </c>
      <c r="L144" s="119"/>
      <c r="M144" s="119"/>
      <c r="N144" s="119"/>
      <c r="O144" s="6"/>
    </row>
    <row r="145" spans="1:15" s="25" customFormat="1" ht="12.75">
      <c r="A145" s="76" t="s">
        <v>227</v>
      </c>
      <c r="B145" s="57"/>
      <c r="C145" s="9" t="s">
        <v>23</v>
      </c>
      <c r="D145" s="9" t="s">
        <v>228</v>
      </c>
      <c r="E145" s="9" t="s">
        <v>157</v>
      </c>
      <c r="F145" s="9" t="s">
        <v>116</v>
      </c>
      <c r="G145" s="9" t="s">
        <v>115</v>
      </c>
      <c r="H145" s="129">
        <f t="shared" si="6"/>
        <v>90100</v>
      </c>
      <c r="I145" s="107"/>
      <c r="J145" s="26"/>
      <c r="K145" s="78">
        <v>90100</v>
      </c>
      <c r="L145" s="107"/>
      <c r="M145" s="107"/>
      <c r="N145" s="107"/>
      <c r="O145" s="6"/>
    </row>
    <row r="146" spans="1:15" s="25" customFormat="1" ht="12.75" hidden="1">
      <c r="A146" s="77" t="s">
        <v>231</v>
      </c>
      <c r="B146" s="58"/>
      <c r="C146" s="87" t="s">
        <v>230</v>
      </c>
      <c r="D146" s="53"/>
      <c r="E146" s="53"/>
      <c r="F146" s="53"/>
      <c r="G146" s="53"/>
      <c r="H146" s="124">
        <f t="shared" si="6"/>
        <v>0</v>
      </c>
      <c r="I146" s="119"/>
      <c r="J146" s="97"/>
      <c r="K146" s="98">
        <f>K147</f>
        <v>0</v>
      </c>
      <c r="L146" s="119"/>
      <c r="M146" s="119"/>
      <c r="N146" s="119"/>
      <c r="O146" s="6"/>
    </row>
    <row r="147" spans="1:15" s="25" customFormat="1" ht="12.75" hidden="1">
      <c r="A147" s="22" t="s">
        <v>227</v>
      </c>
      <c r="B147" s="57"/>
      <c r="C147" s="9" t="s">
        <v>230</v>
      </c>
      <c r="D147" s="9" t="s">
        <v>81</v>
      </c>
      <c r="E147" s="9" t="s">
        <v>232</v>
      </c>
      <c r="F147" s="9" t="s">
        <v>116</v>
      </c>
      <c r="G147" s="9" t="s">
        <v>115</v>
      </c>
      <c r="H147" s="126">
        <f t="shared" si="6"/>
        <v>0</v>
      </c>
      <c r="I147" s="107"/>
      <c r="J147" s="78"/>
      <c r="K147" s="26"/>
      <c r="L147" s="107"/>
      <c r="M147" s="107"/>
      <c r="N147" s="107"/>
      <c r="O147" s="6"/>
    </row>
    <row r="148" spans="1:15" s="25" customFormat="1" ht="29.25" customHeight="1">
      <c r="A148" s="681" t="s">
        <v>224</v>
      </c>
      <c r="B148" s="682"/>
      <c r="C148" s="27" t="s">
        <v>80</v>
      </c>
      <c r="D148" s="3"/>
      <c r="E148" s="3"/>
      <c r="F148" s="3"/>
      <c r="G148" s="3"/>
      <c r="H148" s="124">
        <f aca="true" t="shared" si="7" ref="H148:H159">N148</f>
        <v>92618.84000000001</v>
      </c>
      <c r="I148" s="119"/>
      <c r="J148" s="119"/>
      <c r="K148" s="119"/>
      <c r="L148" s="119"/>
      <c r="M148" s="119"/>
      <c r="N148" s="97">
        <f>SUM(N149:N159)</f>
        <v>92618.84000000001</v>
      </c>
      <c r="O148" s="6"/>
    </row>
    <row r="149" spans="1:15" s="25" customFormat="1" ht="13.5" customHeight="1" hidden="1">
      <c r="A149" s="45" t="s">
        <v>8</v>
      </c>
      <c r="B149" s="8"/>
      <c r="C149" s="9" t="s">
        <v>80</v>
      </c>
      <c r="D149" s="9" t="s">
        <v>81</v>
      </c>
      <c r="E149" s="9" t="s">
        <v>108</v>
      </c>
      <c r="F149" s="9" t="s">
        <v>128</v>
      </c>
      <c r="G149" s="9" t="s">
        <v>115</v>
      </c>
      <c r="H149" s="126">
        <f t="shared" si="7"/>
        <v>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/>
      <c r="O149" s="6"/>
    </row>
    <row r="150" spans="1:15" s="25" customFormat="1" ht="13.5" customHeight="1" hidden="1">
      <c r="A150" s="22" t="s">
        <v>11</v>
      </c>
      <c r="B150" s="9"/>
      <c r="C150" s="9" t="s">
        <v>80</v>
      </c>
      <c r="D150" s="9" t="s">
        <v>81</v>
      </c>
      <c r="E150" s="9" t="s">
        <v>108</v>
      </c>
      <c r="F150" s="9" t="s">
        <v>121</v>
      </c>
      <c r="G150" s="9" t="s">
        <v>115</v>
      </c>
      <c r="H150" s="126">
        <f t="shared" si="7"/>
        <v>0</v>
      </c>
      <c r="I150" s="107" t="s">
        <v>76</v>
      </c>
      <c r="J150" s="107" t="s">
        <v>76</v>
      </c>
      <c r="K150" s="107" t="s">
        <v>76</v>
      </c>
      <c r="L150" s="107" t="s">
        <v>76</v>
      </c>
      <c r="M150" s="107"/>
      <c r="N150" s="122"/>
      <c r="O150" s="6"/>
    </row>
    <row r="151" spans="1:15" s="25" customFormat="1" ht="13.5" customHeight="1">
      <c r="A151" s="22" t="s">
        <v>11</v>
      </c>
      <c r="B151" s="9"/>
      <c r="C151" s="9" t="s">
        <v>80</v>
      </c>
      <c r="D151" s="9" t="s">
        <v>81</v>
      </c>
      <c r="E151" s="9" t="s">
        <v>218</v>
      </c>
      <c r="F151" s="9" t="s">
        <v>121</v>
      </c>
      <c r="G151" s="9" t="s">
        <v>115</v>
      </c>
      <c r="H151" s="126">
        <f t="shared" si="7"/>
        <v>2815.2</v>
      </c>
      <c r="I151" s="107" t="s">
        <v>76</v>
      </c>
      <c r="J151" s="107" t="s">
        <v>76</v>
      </c>
      <c r="K151" s="107" t="s">
        <v>76</v>
      </c>
      <c r="L151" s="107" t="s">
        <v>76</v>
      </c>
      <c r="M151" s="107" t="s">
        <v>76</v>
      </c>
      <c r="N151" s="78">
        <v>2815.2</v>
      </c>
      <c r="O151" s="6"/>
    </row>
    <row r="152" spans="1:15" s="25" customFormat="1" ht="13.5" customHeight="1">
      <c r="A152" s="22" t="s">
        <v>12</v>
      </c>
      <c r="B152" s="9"/>
      <c r="C152" s="9" t="s">
        <v>80</v>
      </c>
      <c r="D152" s="9" t="s">
        <v>81</v>
      </c>
      <c r="E152" s="9" t="s">
        <v>218</v>
      </c>
      <c r="F152" s="9" t="s">
        <v>116</v>
      </c>
      <c r="G152" s="9" t="s">
        <v>115</v>
      </c>
      <c r="H152" s="126">
        <f t="shared" si="7"/>
        <v>13427.57</v>
      </c>
      <c r="I152" s="107" t="s">
        <v>76</v>
      </c>
      <c r="J152" s="107"/>
      <c r="K152" s="107" t="s">
        <v>76</v>
      </c>
      <c r="L152" s="107" t="s">
        <v>76</v>
      </c>
      <c r="M152" s="107"/>
      <c r="N152" s="433">
        <v>13427.57</v>
      </c>
      <c r="O152" s="6"/>
    </row>
    <row r="153" spans="1:15" s="25" customFormat="1" ht="13.5" customHeight="1">
      <c r="A153" s="22" t="s">
        <v>362</v>
      </c>
      <c r="B153" s="9"/>
      <c r="C153" s="9" t="s">
        <v>80</v>
      </c>
      <c r="D153" s="9" t="s">
        <v>81</v>
      </c>
      <c r="E153" s="9" t="s">
        <v>218</v>
      </c>
      <c r="F153" s="9" t="s">
        <v>361</v>
      </c>
      <c r="G153" s="9" t="s">
        <v>115</v>
      </c>
      <c r="H153" s="126">
        <f t="shared" si="7"/>
        <v>3408.3</v>
      </c>
      <c r="I153" s="107"/>
      <c r="J153" s="107"/>
      <c r="K153" s="107"/>
      <c r="L153" s="107"/>
      <c r="M153" s="107"/>
      <c r="N153" s="433">
        <v>3408.3</v>
      </c>
      <c r="O153" s="6"/>
    </row>
    <row r="154" spans="1:15" s="25" customFormat="1" ht="13.5" customHeight="1">
      <c r="A154" s="22" t="s">
        <v>12</v>
      </c>
      <c r="B154" s="9"/>
      <c r="C154" s="398" t="s">
        <v>80</v>
      </c>
      <c r="D154" s="398" t="s">
        <v>81</v>
      </c>
      <c r="E154" s="398" t="s">
        <v>108</v>
      </c>
      <c r="F154" s="398" t="s">
        <v>116</v>
      </c>
      <c r="G154" s="398" t="s">
        <v>115</v>
      </c>
      <c r="H154" s="399">
        <f t="shared" si="7"/>
        <v>20614.72</v>
      </c>
      <c r="I154" s="400" t="s">
        <v>76</v>
      </c>
      <c r="J154" s="400" t="s">
        <v>76</v>
      </c>
      <c r="K154" s="400" t="s">
        <v>76</v>
      </c>
      <c r="L154" s="400" t="s">
        <v>76</v>
      </c>
      <c r="M154" s="400" t="s">
        <v>76</v>
      </c>
      <c r="N154" s="397">
        <f>30000-9385.28</f>
        <v>20614.72</v>
      </c>
      <c r="O154" s="6"/>
    </row>
    <row r="155" spans="1:15" s="25" customFormat="1" ht="13.5" customHeight="1">
      <c r="A155" s="22" t="s">
        <v>14</v>
      </c>
      <c r="B155" s="9"/>
      <c r="C155" s="9" t="s">
        <v>80</v>
      </c>
      <c r="D155" s="9" t="s">
        <v>81</v>
      </c>
      <c r="E155" s="9" t="s">
        <v>108</v>
      </c>
      <c r="F155" s="9" t="s">
        <v>118</v>
      </c>
      <c r="G155" s="9" t="s">
        <v>115</v>
      </c>
      <c r="H155" s="126">
        <f t="shared" si="7"/>
        <v>35000</v>
      </c>
      <c r="I155" s="107" t="s">
        <v>76</v>
      </c>
      <c r="J155" s="107" t="s">
        <v>76</v>
      </c>
      <c r="K155" s="107" t="s">
        <v>76</v>
      </c>
      <c r="L155" s="107" t="s">
        <v>76</v>
      </c>
      <c r="M155" s="107"/>
      <c r="N155" s="122">
        <v>35000</v>
      </c>
      <c r="O155" s="6"/>
    </row>
    <row r="156" spans="1:15" s="25" customFormat="1" ht="13.5" customHeight="1">
      <c r="A156" s="22" t="s">
        <v>463</v>
      </c>
      <c r="B156" s="9"/>
      <c r="C156" s="9" t="s">
        <v>80</v>
      </c>
      <c r="D156" s="9" t="s">
        <v>81</v>
      </c>
      <c r="E156" s="9" t="s">
        <v>108</v>
      </c>
      <c r="F156" s="9" t="s">
        <v>118</v>
      </c>
      <c r="G156" s="9" t="s">
        <v>115</v>
      </c>
      <c r="H156" s="126">
        <f t="shared" si="7"/>
        <v>2504.12</v>
      </c>
      <c r="I156" s="107" t="s">
        <v>76</v>
      </c>
      <c r="J156" s="107" t="s">
        <v>76</v>
      </c>
      <c r="K156" s="107" t="s">
        <v>76</v>
      </c>
      <c r="L156" s="107"/>
      <c r="M156" s="107"/>
      <c r="N156" s="122">
        <v>2504.12</v>
      </c>
      <c r="O156" s="6"/>
    </row>
    <row r="157" spans="1:15" s="25" customFormat="1" ht="39" customHeight="1">
      <c r="A157" s="22" t="s">
        <v>363</v>
      </c>
      <c r="B157" s="9"/>
      <c r="C157" s="9" t="s">
        <v>80</v>
      </c>
      <c r="D157" s="9" t="s">
        <v>81</v>
      </c>
      <c r="E157" s="9" t="s">
        <v>218</v>
      </c>
      <c r="F157" s="9" t="s">
        <v>240</v>
      </c>
      <c r="G157" s="9" t="s">
        <v>115</v>
      </c>
      <c r="H157" s="126">
        <f t="shared" si="7"/>
        <v>3937.5</v>
      </c>
      <c r="I157" s="107" t="s">
        <v>76</v>
      </c>
      <c r="J157" s="107"/>
      <c r="K157" s="107" t="s">
        <v>76</v>
      </c>
      <c r="L157" s="107" t="s">
        <v>76</v>
      </c>
      <c r="M157" s="107"/>
      <c r="N157" s="99">
        <v>3937.5</v>
      </c>
      <c r="O157" s="6"/>
    </row>
    <row r="158" spans="1:15" s="25" customFormat="1" ht="30.75" customHeight="1">
      <c r="A158" s="431" t="s">
        <v>364</v>
      </c>
      <c r="B158" s="20"/>
      <c r="C158" s="9" t="s">
        <v>80</v>
      </c>
      <c r="D158" s="9" t="s">
        <v>81</v>
      </c>
      <c r="E158" s="9" t="s">
        <v>218</v>
      </c>
      <c r="F158" s="9" t="s">
        <v>242</v>
      </c>
      <c r="G158" s="9" t="s">
        <v>115</v>
      </c>
      <c r="H158" s="126">
        <f t="shared" si="7"/>
        <v>7087.63</v>
      </c>
      <c r="I158" s="107" t="s">
        <v>76</v>
      </c>
      <c r="J158" s="108"/>
      <c r="K158" s="107" t="s">
        <v>76</v>
      </c>
      <c r="L158" s="108"/>
      <c r="M158" s="108"/>
      <c r="N158" s="78">
        <v>7087.63</v>
      </c>
      <c r="O158" s="6"/>
    </row>
    <row r="159" spans="1:15" s="25" customFormat="1" ht="30.75" customHeight="1">
      <c r="A159" s="431" t="s">
        <v>243</v>
      </c>
      <c r="B159" s="20"/>
      <c r="C159" s="9" t="s">
        <v>80</v>
      </c>
      <c r="D159" s="9" t="s">
        <v>81</v>
      </c>
      <c r="E159" s="9" t="s">
        <v>218</v>
      </c>
      <c r="F159" s="9" t="s">
        <v>244</v>
      </c>
      <c r="G159" s="9" t="s">
        <v>115</v>
      </c>
      <c r="H159" s="126">
        <f t="shared" si="7"/>
        <v>3823.8</v>
      </c>
      <c r="I159" s="107"/>
      <c r="J159" s="108"/>
      <c r="K159" s="107"/>
      <c r="L159" s="108"/>
      <c r="M159" s="108"/>
      <c r="N159" s="78">
        <v>3823.8</v>
      </c>
      <c r="O159" s="6"/>
    </row>
    <row r="160" spans="1:15" s="25" customFormat="1" ht="27">
      <c r="A160" s="96" t="s">
        <v>129</v>
      </c>
      <c r="B160" s="32" t="s">
        <v>130</v>
      </c>
      <c r="C160" s="33" t="s">
        <v>76</v>
      </c>
      <c r="D160" s="33" t="s">
        <v>76</v>
      </c>
      <c r="E160" s="33" t="s">
        <v>76</v>
      </c>
      <c r="F160" s="33" t="s">
        <v>76</v>
      </c>
      <c r="G160" s="33" t="s">
        <v>76</v>
      </c>
      <c r="H160" s="130">
        <f>I160+N160+K160</f>
        <v>17240370</v>
      </c>
      <c r="I160" s="130">
        <f>I58+I62+I92+I93+I60+I75+I61+I59</f>
        <v>16848134</v>
      </c>
      <c r="J160" s="130"/>
      <c r="K160" s="130">
        <f>K143</f>
        <v>392236</v>
      </c>
      <c r="L160" s="134" t="s">
        <v>76</v>
      </c>
      <c r="M160" s="134" t="s">
        <v>76</v>
      </c>
      <c r="N160" s="130"/>
      <c r="O160" s="6" t="s">
        <v>76</v>
      </c>
    </row>
    <row r="161" spans="1:15" s="25" customFormat="1" ht="27">
      <c r="A161" s="96" t="s">
        <v>131</v>
      </c>
      <c r="B161" s="32" t="s">
        <v>132</v>
      </c>
      <c r="C161" s="33" t="s">
        <v>76</v>
      </c>
      <c r="D161" s="33" t="s">
        <v>76</v>
      </c>
      <c r="E161" s="33" t="s">
        <v>76</v>
      </c>
      <c r="F161" s="33" t="s">
        <v>76</v>
      </c>
      <c r="G161" s="33" t="s">
        <v>76</v>
      </c>
      <c r="H161" s="130">
        <f>H163+H162</f>
        <v>7682602.54</v>
      </c>
      <c r="I161" s="130">
        <f>I163+I162</f>
        <v>5037909</v>
      </c>
      <c r="J161" s="130">
        <f>J163+J162</f>
        <v>0</v>
      </c>
      <c r="K161" s="130">
        <f>K163+K162</f>
        <v>2552074.7</v>
      </c>
      <c r="L161" s="134"/>
      <c r="M161" s="134"/>
      <c r="N161" s="130">
        <f>N163+N162</f>
        <v>92618.84</v>
      </c>
      <c r="O161" s="6"/>
    </row>
    <row r="162" spans="1:15" s="25" customFormat="1" ht="24" customHeight="1">
      <c r="A162" s="96" t="s">
        <v>133</v>
      </c>
      <c r="B162" s="32" t="s">
        <v>134</v>
      </c>
      <c r="C162" s="33" t="s">
        <v>76</v>
      </c>
      <c r="D162" s="33" t="s">
        <v>76</v>
      </c>
      <c r="E162" s="33" t="s">
        <v>76</v>
      </c>
      <c r="F162" s="33" t="s">
        <v>76</v>
      </c>
      <c r="G162" s="33" t="s">
        <v>76</v>
      </c>
      <c r="H162" s="130">
        <f>I162+N162+K162</f>
        <v>0</v>
      </c>
      <c r="I162" s="130"/>
      <c r="J162" s="130"/>
      <c r="K162" s="130">
        <v>0</v>
      </c>
      <c r="L162" s="134"/>
      <c r="M162" s="134"/>
      <c r="N162" s="130">
        <v>0</v>
      </c>
      <c r="O162" s="6"/>
    </row>
    <row r="163" spans="1:15" s="25" customFormat="1" ht="12.75" customHeight="1">
      <c r="A163" s="96" t="s">
        <v>135</v>
      </c>
      <c r="B163" s="32" t="s">
        <v>136</v>
      </c>
      <c r="C163" s="33" t="s">
        <v>76</v>
      </c>
      <c r="D163" s="33" t="s">
        <v>76</v>
      </c>
      <c r="E163" s="33" t="s">
        <v>76</v>
      </c>
      <c r="F163" s="33" t="s">
        <v>76</v>
      </c>
      <c r="G163" s="33" t="s">
        <v>76</v>
      </c>
      <c r="H163" s="130">
        <f>I163+N163+K163</f>
        <v>7682602.54</v>
      </c>
      <c r="I163" s="130">
        <f>I64+I69+I70+I71+I72+I77+I83+I84+I86+I88+I89+I90+I91+I102+I97+I98+I78+I79+I81+I82+I99+I87+I74+I80+I94+I76</f>
        <v>5037909</v>
      </c>
      <c r="J163" s="130"/>
      <c r="K163" s="130">
        <f>K106+K110+K140+K141+K124+K125+K126+K133+K135+K118+K119+K120+K121+K117+K145+K147+K132+K127+K128+K130+K112+K113++K114+K115+K129</f>
        <v>2552074.7</v>
      </c>
      <c r="L163" s="134" t="s">
        <v>76</v>
      </c>
      <c r="M163" s="134" t="s">
        <v>76</v>
      </c>
      <c r="N163" s="130">
        <f>N149+N150+N152+N155+N157+N151+N154+N158+N153+N159+N156</f>
        <v>92618.84</v>
      </c>
      <c r="O163" s="6" t="s">
        <v>76</v>
      </c>
    </row>
    <row r="164" spans="1:15" s="25" customFormat="1" ht="13.5" hidden="1">
      <c r="A164" s="8" t="s">
        <v>137</v>
      </c>
      <c r="B164" s="9" t="s">
        <v>138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f>I164+N164</f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5" spans="1:15" s="25" customFormat="1" ht="13.5" hidden="1">
      <c r="A165" s="20" t="s">
        <v>139</v>
      </c>
      <c r="B165" s="9" t="s">
        <v>118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6" spans="1:15" s="25" customFormat="1" ht="13.5" hidden="1">
      <c r="A166" s="20" t="s">
        <v>140</v>
      </c>
      <c r="B166" s="9" t="s">
        <v>141</v>
      </c>
      <c r="C166" s="34" t="s">
        <v>76</v>
      </c>
      <c r="D166" s="34" t="s">
        <v>76</v>
      </c>
      <c r="E166" s="34" t="s">
        <v>76</v>
      </c>
      <c r="F166" s="34" t="s">
        <v>76</v>
      </c>
      <c r="G166" s="34" t="s">
        <v>76</v>
      </c>
      <c r="H166" s="126">
        <v>0</v>
      </c>
      <c r="I166" s="126">
        <v>0</v>
      </c>
      <c r="J166" s="126"/>
      <c r="K166" s="126"/>
      <c r="L166" s="135" t="s">
        <v>76</v>
      </c>
      <c r="M166" s="135" t="s">
        <v>76</v>
      </c>
      <c r="N166" s="126">
        <v>0</v>
      </c>
      <c r="O166" s="6" t="s">
        <v>76</v>
      </c>
    </row>
    <row r="167" spans="1:15" s="25" customFormat="1" ht="13.5" hidden="1">
      <c r="A167" s="20" t="s">
        <v>142</v>
      </c>
      <c r="B167" s="9" t="s">
        <v>143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8" spans="1:15" s="25" customFormat="1" ht="13.5" hidden="1">
      <c r="A168" s="20" t="s">
        <v>144</v>
      </c>
      <c r="B168" s="9" t="s">
        <v>145</v>
      </c>
      <c r="C168" s="34" t="s">
        <v>76</v>
      </c>
      <c r="D168" s="34" t="s">
        <v>76</v>
      </c>
      <c r="E168" s="34" t="s">
        <v>76</v>
      </c>
      <c r="F168" s="34" t="s">
        <v>76</v>
      </c>
      <c r="G168" s="34" t="s">
        <v>76</v>
      </c>
      <c r="H168" s="126">
        <v>0</v>
      </c>
      <c r="I168" s="126">
        <v>0</v>
      </c>
      <c r="J168" s="126"/>
      <c r="K168" s="126"/>
      <c r="L168" s="135" t="s">
        <v>76</v>
      </c>
      <c r="M168" s="135" t="s">
        <v>76</v>
      </c>
      <c r="N168" s="126">
        <v>0</v>
      </c>
      <c r="O168" s="6" t="s">
        <v>76</v>
      </c>
    </row>
    <row r="169" spans="1:15" s="25" customFormat="1" ht="13.5" hidden="1">
      <c r="A169" s="20" t="s">
        <v>146</v>
      </c>
      <c r="B169" s="9" t="s">
        <v>147</v>
      </c>
      <c r="C169" s="34" t="s">
        <v>76</v>
      </c>
      <c r="D169" s="34" t="s">
        <v>76</v>
      </c>
      <c r="E169" s="34" t="s">
        <v>76</v>
      </c>
      <c r="F169" s="34" t="s">
        <v>76</v>
      </c>
      <c r="G169" s="34" t="s">
        <v>76</v>
      </c>
      <c r="H169" s="126">
        <v>0</v>
      </c>
      <c r="I169" s="126">
        <v>0</v>
      </c>
      <c r="J169" s="126"/>
      <c r="K169" s="126"/>
      <c r="L169" s="135" t="s">
        <v>76</v>
      </c>
      <c r="M169" s="135" t="s">
        <v>76</v>
      </c>
      <c r="N169" s="126">
        <v>0</v>
      </c>
      <c r="O169" s="6" t="s">
        <v>76</v>
      </c>
    </row>
    <row r="170" spans="1:15" s="25" customFormat="1" ht="13.5">
      <c r="A170" s="48" t="s">
        <v>137</v>
      </c>
      <c r="B170" s="49" t="s">
        <v>138</v>
      </c>
      <c r="C170" s="50" t="s">
        <v>173</v>
      </c>
      <c r="D170" s="49" t="s">
        <v>81</v>
      </c>
      <c r="E170" s="50" t="s">
        <v>174</v>
      </c>
      <c r="F170" s="50" t="s">
        <v>174</v>
      </c>
      <c r="G170" s="50" t="s">
        <v>175</v>
      </c>
      <c r="H170" s="132">
        <v>28653.9</v>
      </c>
      <c r="I170" s="136"/>
      <c r="J170" s="136"/>
      <c r="K170" s="136"/>
      <c r="L170" s="137"/>
      <c r="M170" s="137"/>
      <c r="N170" s="136"/>
      <c r="O170" s="6"/>
    </row>
    <row r="171" spans="1:15" s="25" customFormat="1" ht="13.5">
      <c r="A171" s="51" t="s">
        <v>142</v>
      </c>
      <c r="B171" s="49" t="s">
        <v>143</v>
      </c>
      <c r="C171" s="50" t="s">
        <v>173</v>
      </c>
      <c r="D171" s="49" t="s">
        <v>81</v>
      </c>
      <c r="E171" s="50" t="s">
        <v>174</v>
      </c>
      <c r="F171" s="50" t="s">
        <v>174</v>
      </c>
      <c r="G171" s="50" t="s">
        <v>176</v>
      </c>
      <c r="H171" s="132">
        <v>28653.9</v>
      </c>
      <c r="I171" s="136"/>
      <c r="J171" s="136"/>
      <c r="K171" s="136"/>
      <c r="L171" s="137"/>
      <c r="M171" s="137"/>
      <c r="N171" s="136"/>
      <c r="O171" s="6"/>
    </row>
    <row r="172" spans="1:15" s="25" customFormat="1" ht="13.5">
      <c r="A172" s="35" t="s">
        <v>148</v>
      </c>
      <c r="B172" s="36" t="s">
        <v>149</v>
      </c>
      <c r="C172" s="37" t="s">
        <v>76</v>
      </c>
      <c r="D172" s="37" t="s">
        <v>76</v>
      </c>
      <c r="E172" s="37" t="s">
        <v>76</v>
      </c>
      <c r="F172" s="37" t="s">
        <v>76</v>
      </c>
      <c r="G172" s="37" t="s">
        <v>76</v>
      </c>
      <c r="H172" s="133">
        <f>I172+K172+N172</f>
        <v>0</v>
      </c>
      <c r="I172" s="133">
        <v>0</v>
      </c>
      <c r="J172" s="133"/>
      <c r="K172" s="133"/>
      <c r="L172" s="138" t="s">
        <v>76</v>
      </c>
      <c r="M172" s="138" t="s">
        <v>76</v>
      </c>
      <c r="N172" s="133"/>
      <c r="O172" s="6" t="s">
        <v>76</v>
      </c>
    </row>
    <row r="173" spans="1:15" s="25" customFormat="1" ht="13.5">
      <c r="A173" s="20" t="s">
        <v>150</v>
      </c>
      <c r="B173" s="9" t="s">
        <v>151</v>
      </c>
      <c r="C173" s="34" t="s">
        <v>76</v>
      </c>
      <c r="D173" s="34" t="s">
        <v>76</v>
      </c>
      <c r="E173" s="34" t="s">
        <v>76</v>
      </c>
      <c r="F173" s="34" t="s">
        <v>76</v>
      </c>
      <c r="G173" s="34" t="s">
        <v>76</v>
      </c>
      <c r="H173" s="126">
        <v>0</v>
      </c>
      <c r="I173" s="126">
        <v>0</v>
      </c>
      <c r="J173" s="126"/>
      <c r="K173" s="126"/>
      <c r="L173" s="135" t="s">
        <v>76</v>
      </c>
      <c r="M173" s="135" t="s">
        <v>76</v>
      </c>
      <c r="N173" s="126">
        <v>0</v>
      </c>
      <c r="O173" s="6" t="s">
        <v>76</v>
      </c>
    </row>
    <row r="175" ht="12.75">
      <c r="A175" s="88" t="s">
        <v>271</v>
      </c>
    </row>
    <row r="176" ht="12.75">
      <c r="A176" s="88"/>
    </row>
    <row r="177" ht="19.5" customHeight="1">
      <c r="A177" s="88" t="s">
        <v>17</v>
      </c>
    </row>
    <row r="178" ht="12.75">
      <c r="A178" s="88" t="s">
        <v>272</v>
      </c>
    </row>
    <row r="179" ht="12.75">
      <c r="A179" s="88"/>
    </row>
    <row r="180" ht="13.5" customHeight="1">
      <c r="A180" s="89"/>
    </row>
    <row r="181" ht="13.5" customHeight="1">
      <c r="A181" s="89"/>
    </row>
    <row r="182" ht="12.75" customHeight="1">
      <c r="A182" s="89"/>
    </row>
    <row r="183" ht="12.75" customHeight="1">
      <c r="A183" s="89"/>
    </row>
    <row r="184" ht="12.75" customHeight="1">
      <c r="A184" s="89"/>
    </row>
    <row r="185" ht="12.75" customHeight="1">
      <c r="A185" s="89"/>
    </row>
    <row r="186" ht="12.75" customHeight="1">
      <c r="A186" s="89"/>
    </row>
    <row r="187" ht="12.75" customHeight="1">
      <c r="A187" s="89"/>
    </row>
    <row r="188" ht="12.75" customHeight="1">
      <c r="A188" s="89"/>
    </row>
  </sheetData>
  <sheetProtection/>
  <mergeCells count="80">
    <mergeCell ref="F124:F126"/>
    <mergeCell ref="A124:A126"/>
    <mergeCell ref="A134:B134"/>
    <mergeCell ref="A137:B137"/>
    <mergeCell ref="A139:B139"/>
    <mergeCell ref="A148:B148"/>
    <mergeCell ref="E124:E126"/>
    <mergeCell ref="A103:B103"/>
    <mergeCell ref="A107:B107"/>
    <mergeCell ref="A111:B111"/>
    <mergeCell ref="G124:G126"/>
    <mergeCell ref="A132:A133"/>
    <mergeCell ref="C132:C133"/>
    <mergeCell ref="E132:E133"/>
    <mergeCell ref="F132:F133"/>
    <mergeCell ref="G132:G133"/>
    <mergeCell ref="C124:C126"/>
    <mergeCell ref="A116:B116"/>
    <mergeCell ref="A122:B122"/>
    <mergeCell ref="A85:B85"/>
    <mergeCell ref="A71:A72"/>
    <mergeCell ref="C71:C72"/>
    <mergeCell ref="E71:E72"/>
    <mergeCell ref="C83:C84"/>
    <mergeCell ref="E83:E84"/>
    <mergeCell ref="A88:A89"/>
    <mergeCell ref="A90:A91"/>
    <mergeCell ref="G83:G84"/>
    <mergeCell ref="F60:F61"/>
    <mergeCell ref="G60:G61"/>
    <mergeCell ref="A64:A69"/>
    <mergeCell ref="C64:C69"/>
    <mergeCell ref="F64:F69"/>
    <mergeCell ref="F71:F72"/>
    <mergeCell ref="G71:G72"/>
    <mergeCell ref="A83:A84"/>
    <mergeCell ref="E77:E78"/>
    <mergeCell ref="A57:B57"/>
    <mergeCell ref="C60:C61"/>
    <mergeCell ref="C41:C44"/>
    <mergeCell ref="A41:A44"/>
    <mergeCell ref="F83:F84"/>
    <mergeCell ref="A30:A36"/>
    <mergeCell ref="C30:C31"/>
    <mergeCell ref="D30:D31"/>
    <mergeCell ref="F32:F36"/>
    <mergeCell ref="F42:F44"/>
    <mergeCell ref="A47:A48"/>
    <mergeCell ref="C47:C48"/>
    <mergeCell ref="F47:F48"/>
    <mergeCell ref="A37:A40"/>
    <mergeCell ref="C37:C40"/>
    <mergeCell ref="B16:B23"/>
    <mergeCell ref="A19:A23"/>
    <mergeCell ref="C19:C23"/>
    <mergeCell ref="F19:F23"/>
    <mergeCell ref="J16:J17"/>
    <mergeCell ref="A17:A18"/>
    <mergeCell ref="C17:C18"/>
    <mergeCell ref="E17:E18"/>
    <mergeCell ref="F17:F18"/>
    <mergeCell ref="G17:G18"/>
    <mergeCell ref="B10:B15"/>
    <mergeCell ref="C11:C13"/>
    <mergeCell ref="E11:E13"/>
    <mergeCell ref="F11:F13"/>
    <mergeCell ref="H4:O4"/>
    <mergeCell ref="H5:H6"/>
    <mergeCell ref="I5:O5"/>
    <mergeCell ref="N6:O6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view="pageBreakPreview" zoomScale="115" zoomScaleSheetLayoutView="115" zoomScalePageLayoutView="0" workbookViewId="0" topLeftCell="A5">
      <selection activeCell="I70" sqref="I70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1.00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524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23" t="s">
        <v>74</v>
      </c>
      <c r="B9" s="24" t="s">
        <v>75</v>
      </c>
      <c r="C9" s="24" t="s">
        <v>76</v>
      </c>
      <c r="D9" s="556" t="s">
        <v>76</v>
      </c>
      <c r="E9" s="556" t="s">
        <v>76</v>
      </c>
      <c r="F9" s="556" t="s">
        <v>76</v>
      </c>
      <c r="G9" s="556" t="s">
        <v>76</v>
      </c>
      <c r="H9" s="130">
        <f>H10+H16+H24</f>
        <v>24922972.54</v>
      </c>
      <c r="I9" s="130">
        <f>I16</f>
        <v>21886043</v>
      </c>
      <c r="J9" s="130"/>
      <c r="K9" s="130">
        <f>K24</f>
        <v>2944310.7</v>
      </c>
      <c r="L9" s="557" t="s">
        <v>76</v>
      </c>
      <c r="M9" s="557" t="s">
        <v>76</v>
      </c>
      <c r="N9" s="130">
        <f>N10</f>
        <v>92618.84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 aca="true" t="shared" si="0" ref="H10:H15">N10</f>
        <v>92618.84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N12+N13+N15+N14</f>
        <v>92618.84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 t="shared" si="0"/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 t="shared" si="0"/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 t="shared" si="0"/>
        <v>20614.72</v>
      </c>
      <c r="I13" s="26" t="s">
        <v>76</v>
      </c>
      <c r="J13" s="26"/>
      <c r="K13" s="26" t="s">
        <v>76</v>
      </c>
      <c r="L13" s="26"/>
      <c r="M13" s="26"/>
      <c r="N13" s="139">
        <f>30000-9385.28</f>
        <v>20614.72</v>
      </c>
      <c r="O13" s="7"/>
    </row>
    <row r="14" spans="1:15" ht="38.25" customHeight="1">
      <c r="A14" s="8" t="s">
        <v>464</v>
      </c>
      <c r="B14" s="695"/>
      <c r="C14" s="488" t="s">
        <v>80</v>
      </c>
      <c r="D14" s="9" t="s">
        <v>81</v>
      </c>
      <c r="E14" s="12"/>
      <c r="F14" s="60" t="s">
        <v>465</v>
      </c>
      <c r="G14" s="9"/>
      <c r="H14" s="126">
        <f t="shared" si="0"/>
        <v>2504.12</v>
      </c>
      <c r="I14" s="26" t="s">
        <v>76</v>
      </c>
      <c r="J14" s="26"/>
      <c r="K14" s="26" t="s">
        <v>76</v>
      </c>
      <c r="L14" s="26"/>
      <c r="M14" s="26"/>
      <c r="N14" s="139">
        <v>2504.12</v>
      </c>
      <c r="O14" s="7"/>
    </row>
    <row r="15" spans="1:15" ht="16.5" customHeight="1">
      <c r="A15" s="8" t="s">
        <v>83</v>
      </c>
      <c r="B15" s="695"/>
      <c r="C15" s="488" t="s">
        <v>80</v>
      </c>
      <c r="D15" s="9" t="s">
        <v>81</v>
      </c>
      <c r="E15" s="9"/>
      <c r="F15" s="9" t="s">
        <v>346</v>
      </c>
      <c r="G15" s="9"/>
      <c r="H15" s="126">
        <f t="shared" si="0"/>
        <v>35000</v>
      </c>
      <c r="I15" s="26" t="s">
        <v>76</v>
      </c>
      <c r="J15" s="26"/>
      <c r="K15" s="26" t="s">
        <v>76</v>
      </c>
      <c r="L15" s="26" t="s">
        <v>76</v>
      </c>
      <c r="M15" s="26" t="s">
        <v>76</v>
      </c>
      <c r="N15" s="139">
        <v>35000</v>
      </c>
      <c r="O15" s="7" t="s">
        <v>76</v>
      </c>
    </row>
    <row r="16" spans="1:15" ht="16.5" customHeight="1">
      <c r="A16" s="8" t="s">
        <v>85</v>
      </c>
      <c r="B16" s="693" t="s">
        <v>86</v>
      </c>
      <c r="C16" s="6" t="s">
        <v>76</v>
      </c>
      <c r="D16" s="9"/>
      <c r="E16" s="6" t="s">
        <v>76</v>
      </c>
      <c r="F16" s="6" t="s">
        <v>76</v>
      </c>
      <c r="G16" s="6" t="s">
        <v>76</v>
      </c>
      <c r="H16" s="126">
        <f>SUM(H17:H23)</f>
        <v>21886043</v>
      </c>
      <c r="I16" s="78">
        <f>I17+I19+I20+I18+I23</f>
        <v>21886043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</row>
    <row r="17" spans="1:16" ht="12.75">
      <c r="A17" s="684" t="s">
        <v>197</v>
      </c>
      <c r="B17" s="697"/>
      <c r="C17" s="735" t="s">
        <v>18</v>
      </c>
      <c r="D17" s="9" t="s">
        <v>81</v>
      </c>
      <c r="E17" s="735"/>
      <c r="F17" s="737">
        <v>131</v>
      </c>
      <c r="G17" s="737"/>
      <c r="H17" s="126">
        <f aca="true" t="shared" si="1" ref="H17:H23">I17</f>
        <v>408300</v>
      </c>
      <c r="I17" s="359">
        <f>408300</f>
        <v>408300</v>
      </c>
      <c r="J17" s="740"/>
      <c r="K17" s="107" t="s">
        <v>76</v>
      </c>
      <c r="L17" s="26" t="s">
        <v>76</v>
      </c>
      <c r="M17" s="26" t="s">
        <v>76</v>
      </c>
      <c r="N17" s="107" t="s">
        <v>76</v>
      </c>
      <c r="O17" s="7" t="s">
        <v>76</v>
      </c>
      <c r="P17" s="13"/>
    </row>
    <row r="18" spans="1:16" ht="12.75">
      <c r="A18" s="686"/>
      <c r="B18" s="697"/>
      <c r="C18" s="736"/>
      <c r="D18" s="14">
        <v>14130030000000000</v>
      </c>
      <c r="E18" s="736"/>
      <c r="F18" s="739"/>
      <c r="G18" s="739"/>
      <c r="H18" s="126">
        <f t="shared" si="1"/>
        <v>17498704</v>
      </c>
      <c r="I18" s="359">
        <f>16689500+661600+147604</f>
        <v>17498704</v>
      </c>
      <c r="J18" s="78"/>
      <c r="K18" s="107" t="s">
        <v>76</v>
      </c>
      <c r="L18" s="26" t="s">
        <v>76</v>
      </c>
      <c r="M18" s="26" t="s">
        <v>76</v>
      </c>
      <c r="N18" s="107" t="s">
        <v>76</v>
      </c>
      <c r="O18" s="7"/>
      <c r="P18" s="13"/>
    </row>
    <row r="19" spans="1:15" ht="15" customHeight="1">
      <c r="A19" s="691" t="s">
        <v>198</v>
      </c>
      <c r="B19" s="697"/>
      <c r="C19" s="693" t="s">
        <v>20</v>
      </c>
      <c r="D19" s="9" t="s">
        <v>81</v>
      </c>
      <c r="E19" s="15"/>
      <c r="F19" s="737">
        <v>131</v>
      </c>
      <c r="G19" s="9"/>
      <c r="H19" s="126">
        <f t="shared" si="1"/>
        <v>1424239</v>
      </c>
      <c r="I19" s="359">
        <f>1543600-149361+30000</f>
        <v>1424239</v>
      </c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7"/>
      <c r="E20" s="15"/>
      <c r="F20" s="738"/>
      <c r="G20" s="9"/>
      <c r="H20" s="126">
        <f t="shared" si="1"/>
        <v>0</v>
      </c>
      <c r="I20" s="78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25.5" customHeight="1" hidden="1">
      <c r="A21" s="696"/>
      <c r="B21" s="697"/>
      <c r="C21" s="697"/>
      <c r="D21" s="15"/>
      <c r="E21" s="9"/>
      <c r="F21" s="738"/>
      <c r="G21" s="9"/>
      <c r="H21" s="126">
        <f t="shared" si="1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42.75" customHeight="1" hidden="1">
      <c r="A22" s="696"/>
      <c r="B22" s="697"/>
      <c r="C22" s="697"/>
      <c r="D22" s="15"/>
      <c r="E22" s="9"/>
      <c r="F22" s="738"/>
      <c r="G22" s="9"/>
      <c r="H22" s="126">
        <f t="shared" si="1"/>
        <v>0</v>
      </c>
      <c r="I22" s="26"/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 t="s">
        <v>76</v>
      </c>
    </row>
    <row r="23" spans="1:15" ht="12" customHeight="1">
      <c r="A23" s="692"/>
      <c r="B23" s="694"/>
      <c r="C23" s="694"/>
      <c r="D23" s="14">
        <v>14130030000000000</v>
      </c>
      <c r="E23" s="9"/>
      <c r="F23" s="739"/>
      <c r="G23" s="9"/>
      <c r="H23" s="126">
        <f t="shared" si="1"/>
        <v>2554800</v>
      </c>
      <c r="I23" s="359">
        <v>2554800</v>
      </c>
      <c r="J23" s="78"/>
      <c r="K23" s="26" t="s">
        <v>76</v>
      </c>
      <c r="L23" s="26" t="s">
        <v>76</v>
      </c>
      <c r="M23" s="26" t="s">
        <v>76</v>
      </c>
      <c r="N23" s="26" t="s">
        <v>76</v>
      </c>
      <c r="O23" s="7"/>
    </row>
    <row r="24" spans="1:15" ht="23.25" customHeight="1">
      <c r="A24" s="555" t="s">
        <v>87</v>
      </c>
      <c r="B24" s="594" t="s">
        <v>88</v>
      </c>
      <c r="C24" s="594" t="s">
        <v>76</v>
      </c>
      <c r="D24" s="594" t="s">
        <v>76</v>
      </c>
      <c r="E24" s="594" t="s">
        <v>76</v>
      </c>
      <c r="F24" s="594" t="s">
        <v>76</v>
      </c>
      <c r="G24" s="594" t="s">
        <v>76</v>
      </c>
      <c r="H24" s="595">
        <f>K24</f>
        <v>2944310.7</v>
      </c>
      <c r="I24" s="596" t="s">
        <v>76</v>
      </c>
      <c r="J24" s="597"/>
      <c r="K24" s="597">
        <f>SUM(K25:K50)</f>
        <v>2944310.7</v>
      </c>
      <c r="L24" s="111" t="s">
        <v>76</v>
      </c>
      <c r="M24" s="111" t="s">
        <v>76</v>
      </c>
      <c r="N24" s="111" t="s">
        <v>76</v>
      </c>
      <c r="O24" s="7" t="s">
        <v>76</v>
      </c>
    </row>
    <row r="25" spans="1:16" ht="69" customHeight="1">
      <c r="A25" s="81" t="s">
        <v>45</v>
      </c>
      <c r="B25" s="6"/>
      <c r="C25" s="17" t="s">
        <v>21</v>
      </c>
      <c r="D25" s="389" t="s">
        <v>89</v>
      </c>
      <c r="E25" s="6"/>
      <c r="F25" s="6" t="s">
        <v>284</v>
      </c>
      <c r="G25" s="6"/>
      <c r="H25" s="390">
        <f>K25</f>
        <v>687276</v>
      </c>
      <c r="I25" s="107" t="s">
        <v>76</v>
      </c>
      <c r="J25" s="116"/>
      <c r="K25" s="391">
        <f>676900-23560+30400+3536</f>
        <v>687276</v>
      </c>
      <c r="L25" s="107" t="s">
        <v>76</v>
      </c>
      <c r="M25" s="107" t="s">
        <v>76</v>
      </c>
      <c r="N25" s="107" t="s">
        <v>76</v>
      </c>
      <c r="O25" s="18" t="s">
        <v>76</v>
      </c>
      <c r="P25" s="19"/>
    </row>
    <row r="26" spans="1:15" ht="12.75" hidden="1">
      <c r="A26" s="20" t="s">
        <v>90</v>
      </c>
      <c r="B26" s="6" t="s">
        <v>91</v>
      </c>
      <c r="C26" s="9"/>
      <c r="D26" s="15"/>
      <c r="E26" s="9"/>
      <c r="F26" s="9"/>
      <c r="G26" s="9"/>
      <c r="H26" s="126"/>
      <c r="I26" s="26" t="s">
        <v>76</v>
      </c>
      <c r="J26" s="78"/>
      <c r="K26" s="106"/>
      <c r="L26" s="26" t="s">
        <v>76</v>
      </c>
      <c r="M26" s="26" t="s">
        <v>76</v>
      </c>
      <c r="N26" s="78"/>
      <c r="O26" s="21"/>
    </row>
    <row r="27" spans="1:15" ht="12.75" customHeight="1" hidden="1">
      <c r="A27" s="20" t="s">
        <v>92</v>
      </c>
      <c r="B27" s="6" t="s">
        <v>84</v>
      </c>
      <c r="C27" s="9"/>
      <c r="D27" s="9"/>
      <c r="E27" s="9"/>
      <c r="F27" s="9" t="s">
        <v>76</v>
      </c>
      <c r="G27" s="9"/>
      <c r="H27" s="126"/>
      <c r="I27" s="26" t="s">
        <v>76</v>
      </c>
      <c r="J27" s="78"/>
      <c r="K27" s="78"/>
      <c r="L27" s="26" t="s">
        <v>76</v>
      </c>
      <c r="M27" s="26" t="s">
        <v>76</v>
      </c>
      <c r="N27" s="78"/>
      <c r="O27" s="7" t="s">
        <v>76</v>
      </c>
    </row>
    <row r="28" spans="1:15" ht="12.75" customHeight="1" hidden="1">
      <c r="A28" s="22" t="s">
        <v>93</v>
      </c>
      <c r="B28" s="6"/>
      <c r="C28" s="17" t="s">
        <v>22</v>
      </c>
      <c r="D28" s="6" t="s">
        <v>81</v>
      </c>
      <c r="E28" s="9"/>
      <c r="F28" s="6" t="s">
        <v>84</v>
      </c>
      <c r="G28" s="9"/>
      <c r="H28" s="126">
        <f>K28</f>
        <v>0</v>
      </c>
      <c r="I28" s="107" t="s">
        <v>76</v>
      </c>
      <c r="J28" s="78"/>
      <c r="K28" s="78"/>
      <c r="L28" s="26"/>
      <c r="M28" s="26"/>
      <c r="N28" s="107" t="s">
        <v>76</v>
      </c>
      <c r="O28" s="7"/>
    </row>
    <row r="29" spans="1:15" ht="25.5">
      <c r="A29" s="61" t="s">
        <v>44</v>
      </c>
      <c r="B29" s="6"/>
      <c r="C29" s="17" t="s">
        <v>41</v>
      </c>
      <c r="D29" s="6" t="s">
        <v>81</v>
      </c>
      <c r="E29" s="9"/>
      <c r="F29" s="6" t="s">
        <v>284</v>
      </c>
      <c r="G29" s="9"/>
      <c r="H29" s="126">
        <f>K29</f>
        <v>24000</v>
      </c>
      <c r="I29" s="107" t="s">
        <v>76</v>
      </c>
      <c r="J29" s="78"/>
      <c r="K29" s="78">
        <v>24000</v>
      </c>
      <c r="L29" s="26"/>
      <c r="M29" s="26"/>
      <c r="N29" s="107" t="s">
        <v>76</v>
      </c>
      <c r="O29" s="7"/>
    </row>
    <row r="30" spans="1:15" ht="15" customHeight="1">
      <c r="A30" s="699" t="s">
        <v>280</v>
      </c>
      <c r="B30" s="6"/>
      <c r="C30" s="741" t="s">
        <v>50</v>
      </c>
      <c r="D30" s="693" t="s">
        <v>81</v>
      </c>
      <c r="E30" s="9"/>
      <c r="F30" s="560" t="s">
        <v>501</v>
      </c>
      <c r="G30" s="9"/>
      <c r="H30" s="126">
        <f>K30</f>
        <v>144673</v>
      </c>
      <c r="I30" s="107"/>
      <c r="J30" s="322"/>
      <c r="K30" s="78">
        <f>24673+120000</f>
        <v>144673</v>
      </c>
      <c r="L30" s="323"/>
      <c r="M30" s="323"/>
      <c r="N30" s="107" t="s">
        <v>76</v>
      </c>
      <c r="O30" s="7"/>
    </row>
    <row r="31" spans="1:15" ht="15" customHeight="1">
      <c r="A31" s="700"/>
      <c r="B31" s="6"/>
      <c r="C31" s="743"/>
      <c r="D31" s="694"/>
      <c r="E31" s="392"/>
      <c r="F31" s="6" t="s">
        <v>284</v>
      </c>
      <c r="G31" s="9"/>
      <c r="H31" s="126">
        <f>K31</f>
        <v>80000</v>
      </c>
      <c r="I31" s="107"/>
      <c r="J31" s="322"/>
      <c r="K31" s="78">
        <v>80000</v>
      </c>
      <c r="L31" s="323"/>
      <c r="M31" s="323"/>
      <c r="N31" s="107" t="s">
        <v>76</v>
      </c>
      <c r="O31" s="7"/>
    </row>
    <row r="32" spans="1:15" ht="21" customHeight="1" hidden="1">
      <c r="A32" s="700"/>
      <c r="B32" s="6"/>
      <c r="C32" s="17" t="s">
        <v>50</v>
      </c>
      <c r="D32" s="393" t="s">
        <v>332</v>
      </c>
      <c r="E32" s="20"/>
      <c r="F32" s="695" t="s">
        <v>284</v>
      </c>
      <c r="G32" s="9"/>
      <c r="H32" s="25"/>
      <c r="I32" s="107" t="s">
        <v>76</v>
      </c>
      <c r="J32" s="108"/>
      <c r="K32" s="109"/>
      <c r="L32" s="108"/>
      <c r="M32" s="108"/>
      <c r="N32" s="107" t="s">
        <v>76</v>
      </c>
      <c r="O32" s="7"/>
    </row>
    <row r="33" spans="1:15" ht="12.75" customHeight="1" hidden="1">
      <c r="A33" s="700"/>
      <c r="B33" s="6"/>
      <c r="C33" s="17" t="s">
        <v>50</v>
      </c>
      <c r="D33" s="393" t="s">
        <v>214</v>
      </c>
      <c r="E33" s="9"/>
      <c r="F33" s="695"/>
      <c r="G33" s="9"/>
      <c r="H33" s="126">
        <f aca="true" t="shared" si="2" ref="H33:H50">K33</f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0"/>
      <c r="B34" s="6"/>
      <c r="C34" s="17" t="s">
        <v>50</v>
      </c>
      <c r="D34" s="393" t="s">
        <v>333</v>
      </c>
      <c r="E34" s="9"/>
      <c r="F34" s="695"/>
      <c r="G34" s="9"/>
      <c r="H34" s="126">
        <f t="shared" si="2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 hidden="1">
      <c r="A35" s="700"/>
      <c r="B35" s="6"/>
      <c r="C35" s="17" t="s">
        <v>50</v>
      </c>
      <c r="D35" s="393" t="s">
        <v>216</v>
      </c>
      <c r="E35" s="9"/>
      <c r="F35" s="695"/>
      <c r="G35" s="9"/>
      <c r="H35" s="126">
        <f t="shared" si="2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customHeight="1" hidden="1">
      <c r="A36" s="701"/>
      <c r="B36" s="6"/>
      <c r="C36" s="17" t="s">
        <v>50</v>
      </c>
      <c r="D36" s="9" t="s">
        <v>216</v>
      </c>
      <c r="E36" s="9"/>
      <c r="F36" s="695"/>
      <c r="G36" s="9"/>
      <c r="H36" s="126">
        <f t="shared" si="2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customHeight="1">
      <c r="A37" s="741" t="s">
        <v>372</v>
      </c>
      <c r="B37" s="60"/>
      <c r="C37" s="693" t="s">
        <v>373</v>
      </c>
      <c r="D37" s="434" t="s">
        <v>332</v>
      </c>
      <c r="E37" s="9"/>
      <c r="F37" s="6" t="s">
        <v>284</v>
      </c>
      <c r="G37" s="9"/>
      <c r="H37" s="126">
        <f t="shared" si="2"/>
        <v>43200</v>
      </c>
      <c r="I37" s="107"/>
      <c r="J37" s="78"/>
      <c r="K37" s="78">
        <v>43200</v>
      </c>
      <c r="L37" s="26"/>
      <c r="M37" s="26"/>
      <c r="N37" s="107" t="s">
        <v>76</v>
      </c>
      <c r="O37" s="7"/>
    </row>
    <row r="38" spans="1:15" ht="12.75" customHeight="1">
      <c r="A38" s="742"/>
      <c r="B38" s="60"/>
      <c r="C38" s="697"/>
      <c r="D38" s="434" t="s">
        <v>214</v>
      </c>
      <c r="E38" s="9"/>
      <c r="F38" s="6" t="s">
        <v>284</v>
      </c>
      <c r="G38" s="9"/>
      <c r="H38" s="126">
        <f t="shared" si="2"/>
        <v>4800</v>
      </c>
      <c r="I38" s="107"/>
      <c r="J38" s="78"/>
      <c r="K38" s="78">
        <v>4800</v>
      </c>
      <c r="L38" s="26"/>
      <c r="M38" s="26"/>
      <c r="N38" s="107" t="s">
        <v>76</v>
      </c>
      <c r="O38" s="7"/>
    </row>
    <row r="39" spans="1:15" ht="12.75" customHeight="1">
      <c r="A39" s="742"/>
      <c r="B39" s="60"/>
      <c r="C39" s="697"/>
      <c r="D39" s="434" t="s">
        <v>333</v>
      </c>
      <c r="E39" s="9"/>
      <c r="F39" s="6" t="s">
        <v>284</v>
      </c>
      <c r="G39" s="9"/>
      <c r="H39" s="126">
        <f t="shared" si="2"/>
        <v>10800</v>
      </c>
      <c r="I39" s="107"/>
      <c r="J39" s="78"/>
      <c r="K39" s="78">
        <v>10800</v>
      </c>
      <c r="L39" s="26"/>
      <c r="M39" s="26"/>
      <c r="N39" s="107" t="s">
        <v>76</v>
      </c>
      <c r="O39" s="7"/>
    </row>
    <row r="40" spans="1:15" ht="12.75" customHeight="1">
      <c r="A40" s="743"/>
      <c r="B40" s="60"/>
      <c r="C40" s="694"/>
      <c r="D40" s="434" t="s">
        <v>216</v>
      </c>
      <c r="E40" s="9"/>
      <c r="F40" s="6" t="s">
        <v>284</v>
      </c>
      <c r="G40" s="9"/>
      <c r="H40" s="126">
        <f t="shared" si="2"/>
        <v>1200</v>
      </c>
      <c r="I40" s="107"/>
      <c r="J40" s="78"/>
      <c r="K40" s="78">
        <v>1200</v>
      </c>
      <c r="L40" s="26"/>
      <c r="M40" s="26"/>
      <c r="N40" s="107" t="s">
        <v>76</v>
      </c>
      <c r="O40" s="7"/>
    </row>
    <row r="41" spans="1:15" ht="12.75" customHeight="1">
      <c r="A41" s="708" t="s">
        <v>155</v>
      </c>
      <c r="B41" s="60"/>
      <c r="C41" s="741" t="s">
        <v>51</v>
      </c>
      <c r="D41" s="6" t="s">
        <v>81</v>
      </c>
      <c r="E41" s="9"/>
      <c r="F41" s="308" t="s">
        <v>501</v>
      </c>
      <c r="G41" s="9"/>
      <c r="H41" s="126">
        <f t="shared" si="2"/>
        <v>105000</v>
      </c>
      <c r="I41" s="107" t="s">
        <v>76</v>
      </c>
      <c r="J41" s="78"/>
      <c r="K41" s="78">
        <v>105000</v>
      </c>
      <c r="L41" s="26"/>
      <c r="M41" s="26"/>
      <c r="N41" s="107" t="s">
        <v>76</v>
      </c>
      <c r="O41" s="7"/>
    </row>
    <row r="42" spans="1:15" ht="12.75" customHeight="1">
      <c r="A42" s="709"/>
      <c r="B42" s="6"/>
      <c r="C42" s="742"/>
      <c r="D42" s="6" t="s">
        <v>81</v>
      </c>
      <c r="E42" s="9"/>
      <c r="F42" s="693" t="s">
        <v>284</v>
      </c>
      <c r="G42" s="9"/>
      <c r="H42" s="126">
        <f t="shared" si="2"/>
        <v>201123.7</v>
      </c>
      <c r="I42" s="107" t="s">
        <v>76</v>
      </c>
      <c r="J42" s="78"/>
      <c r="K42" s="78">
        <f>195152.7+2985.5+2985.5</f>
        <v>201123.7</v>
      </c>
      <c r="L42" s="26"/>
      <c r="M42" s="26"/>
      <c r="N42" s="107" t="s">
        <v>76</v>
      </c>
      <c r="O42" s="7"/>
    </row>
    <row r="43" spans="1:21" ht="12.75">
      <c r="A43" s="709"/>
      <c r="B43" s="6"/>
      <c r="C43" s="742"/>
      <c r="D43" s="6" t="s">
        <v>166</v>
      </c>
      <c r="E43" s="9"/>
      <c r="F43" s="697"/>
      <c r="G43" s="9"/>
      <c r="H43" s="126">
        <f t="shared" si="2"/>
        <v>188911.8</v>
      </c>
      <c r="I43" s="107" t="s">
        <v>76</v>
      </c>
      <c r="J43" s="78"/>
      <c r="K43" s="78">
        <f>148024.8+20443.5+20443.5</f>
        <v>188911.8</v>
      </c>
      <c r="L43" s="26"/>
      <c r="M43" s="26"/>
      <c r="N43" s="107" t="s">
        <v>76</v>
      </c>
      <c r="O43" s="7"/>
      <c r="U43" s="392"/>
    </row>
    <row r="44" spans="1:15" ht="12.75">
      <c r="A44" s="710"/>
      <c r="B44" s="6"/>
      <c r="C44" s="743"/>
      <c r="D44" s="9" t="s">
        <v>196</v>
      </c>
      <c r="E44" s="9"/>
      <c r="F44" s="694"/>
      <c r="G44" s="9"/>
      <c r="H44" s="126">
        <f t="shared" si="2"/>
        <v>20990.2</v>
      </c>
      <c r="I44" s="107" t="s">
        <v>76</v>
      </c>
      <c r="J44" s="78"/>
      <c r="K44" s="78">
        <f>16447.2+2271.5+2271.5</f>
        <v>20990.2</v>
      </c>
      <c r="L44" s="26"/>
      <c r="M44" s="26"/>
      <c r="N44" s="107" t="s">
        <v>76</v>
      </c>
      <c r="O44" s="7"/>
    </row>
    <row r="45" spans="1:15" ht="63.75">
      <c r="A45" s="65" t="s">
        <v>43</v>
      </c>
      <c r="B45" s="20"/>
      <c r="C45" s="360" t="s">
        <v>42</v>
      </c>
      <c r="D45" s="6" t="s">
        <v>162</v>
      </c>
      <c r="E45" s="9"/>
      <c r="F45" s="6" t="s">
        <v>284</v>
      </c>
      <c r="G45" s="9"/>
      <c r="H45" s="126">
        <f t="shared" si="2"/>
        <v>950000</v>
      </c>
      <c r="I45" s="107" t="s">
        <v>76</v>
      </c>
      <c r="J45" s="78"/>
      <c r="K45" s="78">
        <v>950000</v>
      </c>
      <c r="L45" s="26"/>
      <c r="M45" s="26"/>
      <c r="N45" s="107" t="s">
        <v>76</v>
      </c>
      <c r="O45" s="7"/>
    </row>
    <row r="46" spans="1:21" ht="25.5">
      <c r="A46" s="65" t="s">
        <v>225</v>
      </c>
      <c r="B46" s="20"/>
      <c r="C46" s="9" t="s">
        <v>203</v>
      </c>
      <c r="D46" s="9" t="s">
        <v>81</v>
      </c>
      <c r="E46" s="9"/>
      <c r="F46" s="6" t="s">
        <v>284</v>
      </c>
      <c r="G46" s="9"/>
      <c r="H46" s="126">
        <f t="shared" si="2"/>
        <v>392236</v>
      </c>
      <c r="I46" s="107" t="s">
        <v>76</v>
      </c>
      <c r="J46" s="78"/>
      <c r="K46" s="78">
        <f>10000+382236</f>
        <v>392236</v>
      </c>
      <c r="L46" s="26"/>
      <c r="M46" s="26"/>
      <c r="N46" s="107" t="s">
        <v>76</v>
      </c>
      <c r="O46" s="7"/>
      <c r="U46" s="469"/>
    </row>
    <row r="47" spans="1:15" ht="21" customHeight="1" hidden="1">
      <c r="A47" s="689" t="s">
        <v>199</v>
      </c>
      <c r="B47" s="20"/>
      <c r="C47" s="792" t="s">
        <v>192</v>
      </c>
      <c r="D47" s="9" t="s">
        <v>193</v>
      </c>
      <c r="E47" s="9"/>
      <c r="F47" s="693" t="s">
        <v>209</v>
      </c>
      <c r="G47" s="9"/>
      <c r="H47" s="126">
        <f t="shared" si="2"/>
        <v>0</v>
      </c>
      <c r="I47" s="107" t="s">
        <v>76</v>
      </c>
      <c r="J47" s="78"/>
      <c r="K47" s="78"/>
      <c r="L47" s="26"/>
      <c r="M47" s="26"/>
      <c r="N47" s="107" t="s">
        <v>76</v>
      </c>
      <c r="O47" s="7"/>
    </row>
    <row r="48" spans="1:15" ht="18" customHeight="1" hidden="1">
      <c r="A48" s="689"/>
      <c r="B48" s="20"/>
      <c r="C48" s="792"/>
      <c r="D48" s="9" t="s">
        <v>196</v>
      </c>
      <c r="E48" s="9"/>
      <c r="F48" s="694"/>
      <c r="G48" s="9"/>
      <c r="H48" s="126">
        <f t="shared" si="2"/>
        <v>0</v>
      </c>
      <c r="I48" s="107" t="s">
        <v>76</v>
      </c>
      <c r="J48" s="78"/>
      <c r="K48" s="78"/>
      <c r="L48" s="26"/>
      <c r="M48" s="26"/>
      <c r="N48" s="107" t="s">
        <v>76</v>
      </c>
      <c r="O48" s="7"/>
    </row>
    <row r="49" spans="1:15" ht="38.25">
      <c r="A49" s="22" t="s">
        <v>49</v>
      </c>
      <c r="B49" s="6"/>
      <c r="C49" s="6" t="s">
        <v>23</v>
      </c>
      <c r="D49" s="6" t="s">
        <v>228</v>
      </c>
      <c r="E49" s="6"/>
      <c r="F49" s="6" t="s">
        <v>209</v>
      </c>
      <c r="G49" s="6"/>
      <c r="H49" s="129">
        <f t="shared" si="2"/>
        <v>90100</v>
      </c>
      <c r="I49" s="26"/>
      <c r="J49" s="26"/>
      <c r="K49" s="78">
        <v>90100</v>
      </c>
      <c r="L49" s="26"/>
      <c r="M49" s="26"/>
      <c r="N49" s="26"/>
      <c r="O49" s="7"/>
    </row>
    <row r="50" spans="1:15" ht="22.5" customHeight="1" hidden="1">
      <c r="A50" s="8" t="s">
        <v>229</v>
      </c>
      <c r="B50" s="6"/>
      <c r="C50" s="22" t="s">
        <v>230</v>
      </c>
      <c r="D50" s="6" t="s">
        <v>81</v>
      </c>
      <c r="E50" s="9"/>
      <c r="F50" s="15" t="s">
        <v>209</v>
      </c>
      <c r="G50" s="9"/>
      <c r="H50" s="126">
        <f t="shared" si="2"/>
        <v>0</v>
      </c>
      <c r="I50" s="107"/>
      <c r="J50" s="78"/>
      <c r="K50" s="26"/>
      <c r="L50" s="26"/>
      <c r="M50" s="26"/>
      <c r="N50" s="26"/>
      <c r="O50" s="7"/>
    </row>
    <row r="51" spans="1:21" s="25" customFormat="1" ht="17.25" customHeight="1">
      <c r="A51" s="23" t="s">
        <v>94</v>
      </c>
      <c r="B51" s="24" t="s">
        <v>95</v>
      </c>
      <c r="C51" s="56" t="s">
        <v>76</v>
      </c>
      <c r="D51" s="56" t="s">
        <v>76</v>
      </c>
      <c r="E51" s="56" t="s">
        <v>76</v>
      </c>
      <c r="F51" s="56" t="s">
        <v>76</v>
      </c>
      <c r="G51" s="56" t="s">
        <v>76</v>
      </c>
      <c r="H51" s="130">
        <f>I51+N51+K51</f>
        <v>24922972.53999999</v>
      </c>
      <c r="I51" s="130">
        <f>I57+I85+I103</f>
        <v>21886042.999999993</v>
      </c>
      <c r="J51" s="130"/>
      <c r="K51" s="130">
        <f>K103+K107+K109+K122+K134+K137+K139+K116+K142+K144+K146+K111</f>
        <v>2944310.7</v>
      </c>
      <c r="L51" s="130"/>
      <c r="M51" s="130"/>
      <c r="N51" s="130">
        <f>N148</f>
        <v>92618.84000000001</v>
      </c>
      <c r="O51" s="95"/>
      <c r="U51" s="380"/>
    </row>
    <row r="52" spans="1:15" s="25" customFormat="1" ht="18" customHeight="1">
      <c r="A52" s="8" t="s">
        <v>96</v>
      </c>
      <c r="B52" s="9" t="s">
        <v>97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16727032.219999999</v>
      </c>
      <c r="I52" s="78">
        <f>I53+I55</f>
        <v>16727032.219999999</v>
      </c>
      <c r="J52" s="78"/>
      <c r="K52" s="78"/>
      <c r="L52" s="78"/>
      <c r="M52" s="78"/>
      <c r="N52" s="78"/>
      <c r="O52" s="7" t="s">
        <v>76</v>
      </c>
    </row>
    <row r="53" spans="1:15" s="25" customFormat="1" ht="25.5">
      <c r="A53" s="22" t="s">
        <v>98</v>
      </c>
      <c r="B53" s="9" t="s">
        <v>99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f>I53+N53</f>
        <v>16727032.219999999</v>
      </c>
      <c r="I53" s="78">
        <f>I58+I60+I62+I63</f>
        <v>16727032.219999999</v>
      </c>
      <c r="J53" s="78"/>
      <c r="K53" s="78"/>
      <c r="L53" s="78"/>
      <c r="M53" s="78"/>
      <c r="N53" s="78"/>
      <c r="O53" s="7" t="s">
        <v>76</v>
      </c>
    </row>
    <row r="54" spans="1:15" s="25" customFormat="1" ht="9.75" customHeight="1" hidden="1">
      <c r="A54" s="8" t="s">
        <v>100</v>
      </c>
      <c r="B54" s="9" t="s">
        <v>101</v>
      </c>
      <c r="C54" s="26" t="s">
        <v>76</v>
      </c>
      <c r="D54" s="26" t="s">
        <v>76</v>
      </c>
      <c r="E54" s="26" t="s">
        <v>76</v>
      </c>
      <c r="F54" s="26" t="s">
        <v>76</v>
      </c>
      <c r="G54" s="26" t="s">
        <v>76</v>
      </c>
      <c r="H54" s="126"/>
      <c r="I54" s="78"/>
      <c r="J54" s="78"/>
      <c r="K54" s="78"/>
      <c r="L54" s="78"/>
      <c r="M54" s="78"/>
      <c r="N54" s="78"/>
      <c r="O54" s="7" t="s">
        <v>76</v>
      </c>
    </row>
    <row r="55" spans="1:15" s="25" customFormat="1" ht="25.5" hidden="1">
      <c r="A55" s="8" t="s">
        <v>102</v>
      </c>
      <c r="B55" s="9" t="s">
        <v>103</v>
      </c>
      <c r="C55" s="26" t="s">
        <v>76</v>
      </c>
      <c r="D55" s="26" t="s">
        <v>76</v>
      </c>
      <c r="E55" s="26" t="s">
        <v>76</v>
      </c>
      <c r="F55" s="26" t="s">
        <v>76</v>
      </c>
      <c r="G55" s="26" t="s">
        <v>76</v>
      </c>
      <c r="H55" s="126">
        <f>I55+N55</f>
        <v>0</v>
      </c>
      <c r="I55" s="78"/>
      <c r="J55" s="78"/>
      <c r="K55" s="78"/>
      <c r="L55" s="78"/>
      <c r="M55" s="78"/>
      <c r="N55" s="78"/>
      <c r="O55" s="7" t="s">
        <v>76</v>
      </c>
    </row>
    <row r="56" spans="1:15" s="25" customFormat="1" ht="13.5" customHeight="1" hidden="1">
      <c r="A56" s="8" t="s">
        <v>104</v>
      </c>
      <c r="B56" s="9" t="s">
        <v>105</v>
      </c>
      <c r="C56" s="26" t="s">
        <v>76</v>
      </c>
      <c r="D56" s="26" t="s">
        <v>76</v>
      </c>
      <c r="E56" s="26" t="s">
        <v>76</v>
      </c>
      <c r="F56" s="26" t="s">
        <v>76</v>
      </c>
      <c r="G56" s="26" t="s">
        <v>76</v>
      </c>
      <c r="H56" s="126">
        <v>0</v>
      </c>
      <c r="I56" s="78">
        <v>0</v>
      </c>
      <c r="J56" s="78"/>
      <c r="K56" s="78"/>
      <c r="L56" s="78"/>
      <c r="M56" s="78"/>
      <c r="N56" s="78"/>
      <c r="O56" s="21"/>
    </row>
    <row r="57" spans="1:15" s="25" customFormat="1" ht="29.25" customHeight="1">
      <c r="A57" s="681" t="s">
        <v>428</v>
      </c>
      <c r="B57" s="683"/>
      <c r="C57" s="27" t="s">
        <v>18</v>
      </c>
      <c r="D57" s="3"/>
      <c r="E57" s="27"/>
      <c r="F57" s="3"/>
      <c r="G57" s="3"/>
      <c r="H57" s="124">
        <f>SUM(H58:H84)</f>
        <v>17907003.999999993</v>
      </c>
      <c r="I57" s="97">
        <f>SUM(I58:I84)</f>
        <v>17907003.999999993</v>
      </c>
      <c r="J57" s="110"/>
      <c r="K57" s="111" t="s">
        <v>107</v>
      </c>
      <c r="L57" s="111"/>
      <c r="M57" s="111"/>
      <c r="N57" s="111" t="s">
        <v>107</v>
      </c>
      <c r="O57" s="28"/>
    </row>
    <row r="58" spans="1:15" s="25" customFormat="1" ht="16.5" customHeight="1">
      <c r="A58" s="22" t="s">
        <v>4</v>
      </c>
      <c r="B58" s="9"/>
      <c r="C58" s="598" t="s">
        <v>18</v>
      </c>
      <c r="D58" s="599">
        <v>14130030000000000</v>
      </c>
      <c r="E58" s="598" t="s">
        <v>108</v>
      </c>
      <c r="F58" s="598" t="s">
        <v>99</v>
      </c>
      <c r="G58" s="598" t="s">
        <v>109</v>
      </c>
      <c r="H58" s="600">
        <f aca="true" t="shared" si="3" ref="H58:H99">I58</f>
        <v>12833596.87</v>
      </c>
      <c r="I58" s="601">
        <f>12739000-10404-14200+125604-6403.13</f>
        <v>12833596.87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6.5" customHeight="1">
      <c r="A59" s="22" t="s">
        <v>5</v>
      </c>
      <c r="B59" s="9"/>
      <c r="C59" s="6" t="s">
        <v>18</v>
      </c>
      <c r="D59" s="9" t="s">
        <v>81</v>
      </c>
      <c r="E59" s="6" t="s">
        <v>108</v>
      </c>
      <c r="F59" s="308" t="s">
        <v>110</v>
      </c>
      <c r="G59" s="308" t="s">
        <v>111</v>
      </c>
      <c r="H59" s="126">
        <f t="shared" si="3"/>
        <v>1100</v>
      </c>
      <c r="I59" s="112">
        <f>400+700</f>
        <v>1100</v>
      </c>
      <c r="J59" s="78"/>
      <c r="K59" s="107" t="s">
        <v>76</v>
      </c>
      <c r="L59" s="107" t="s">
        <v>76</v>
      </c>
      <c r="M59" s="107" t="s">
        <v>76</v>
      </c>
      <c r="N59" s="107" t="s">
        <v>76</v>
      </c>
      <c r="O59" s="6"/>
    </row>
    <row r="60" spans="1:15" s="25" customFormat="1" ht="15.75" customHeight="1">
      <c r="A60" s="22" t="s">
        <v>5</v>
      </c>
      <c r="B60" s="9"/>
      <c r="C60" s="693" t="s">
        <v>18</v>
      </c>
      <c r="D60" s="9" t="s">
        <v>81</v>
      </c>
      <c r="E60" s="6" t="s">
        <v>108</v>
      </c>
      <c r="F60" s="693" t="s">
        <v>116</v>
      </c>
      <c r="G60" s="693" t="s">
        <v>111</v>
      </c>
      <c r="H60" s="126">
        <f t="shared" si="3"/>
        <v>17330</v>
      </c>
      <c r="I60" s="78">
        <f>2270+7860+7200</f>
        <v>17330</v>
      </c>
      <c r="J60" s="78"/>
      <c r="K60" s="107" t="s">
        <v>76</v>
      </c>
      <c r="L60" s="107" t="s">
        <v>76</v>
      </c>
      <c r="M60" s="107" t="s">
        <v>76</v>
      </c>
      <c r="N60" s="107" t="s">
        <v>76</v>
      </c>
      <c r="O60" s="6"/>
    </row>
    <row r="61" spans="1:15" s="25" customFormat="1" ht="12.75">
      <c r="A61" s="22" t="s">
        <v>5</v>
      </c>
      <c r="B61" s="9"/>
      <c r="C61" s="694"/>
      <c r="D61" s="14">
        <v>14130030000000000</v>
      </c>
      <c r="E61" s="9" t="s">
        <v>157</v>
      </c>
      <c r="F61" s="761"/>
      <c r="G61" s="761"/>
      <c r="H61" s="126">
        <f t="shared" si="3"/>
        <v>2400</v>
      </c>
      <c r="I61" s="78">
        <v>2400</v>
      </c>
      <c r="J61" s="78"/>
      <c r="K61" s="107" t="s">
        <v>76</v>
      </c>
      <c r="L61" s="107" t="s">
        <v>76</v>
      </c>
      <c r="M61" s="107" t="s">
        <v>76</v>
      </c>
      <c r="N61" s="107" t="s">
        <v>76</v>
      </c>
      <c r="O61" s="6" t="s">
        <v>76</v>
      </c>
    </row>
    <row r="62" spans="1:15" s="25" customFormat="1" ht="12.75">
      <c r="A62" s="81" t="s">
        <v>6</v>
      </c>
      <c r="B62" s="9"/>
      <c r="C62" s="598" t="s">
        <v>18</v>
      </c>
      <c r="D62" s="599">
        <v>14130030000000000</v>
      </c>
      <c r="E62" s="598" t="s">
        <v>108</v>
      </c>
      <c r="F62" s="598" t="s">
        <v>112</v>
      </c>
      <c r="G62" s="598" t="s">
        <v>113</v>
      </c>
      <c r="H62" s="600">
        <f t="shared" si="3"/>
        <v>3876105.35</v>
      </c>
      <c r="I62" s="604">
        <f>3855000+22000-894.65</f>
        <v>3876105.35</v>
      </c>
      <c r="J62" s="78"/>
      <c r="K62" s="107" t="s">
        <v>76</v>
      </c>
      <c r="L62" s="107" t="s">
        <v>76</v>
      </c>
      <c r="M62" s="107" t="s">
        <v>76</v>
      </c>
      <c r="N62" s="107" t="s">
        <v>76</v>
      </c>
      <c r="O62" s="6" t="s">
        <v>76</v>
      </c>
    </row>
    <row r="63" spans="1:15" s="25" customFormat="1" ht="12.75" hidden="1">
      <c r="A63" s="86"/>
      <c r="B63" s="12"/>
      <c r="C63" s="60"/>
      <c r="D63" s="30">
        <v>14130030000000000</v>
      </c>
      <c r="E63" s="29"/>
      <c r="F63" s="31"/>
      <c r="G63" s="31"/>
      <c r="H63" s="126">
        <f t="shared" si="3"/>
        <v>0</v>
      </c>
      <c r="I63" s="78"/>
      <c r="J63" s="78"/>
      <c r="K63" s="107" t="s">
        <v>76</v>
      </c>
      <c r="L63" s="107" t="s">
        <v>76</v>
      </c>
      <c r="M63" s="107" t="s">
        <v>76</v>
      </c>
      <c r="N63" s="107" t="s">
        <v>76</v>
      </c>
      <c r="O63" s="6"/>
    </row>
    <row r="64" spans="1:15" s="25" customFormat="1" ht="13.5" customHeight="1">
      <c r="A64" s="691" t="s">
        <v>7</v>
      </c>
      <c r="B64" s="9"/>
      <c r="C64" s="789" t="s">
        <v>18</v>
      </c>
      <c r="D64" s="9" t="s">
        <v>81</v>
      </c>
      <c r="E64" s="9" t="s">
        <v>108</v>
      </c>
      <c r="F64" s="789" t="s">
        <v>114</v>
      </c>
      <c r="G64" s="9" t="s">
        <v>115</v>
      </c>
      <c r="H64" s="126">
        <f t="shared" si="3"/>
        <v>32600</v>
      </c>
      <c r="I64" s="113">
        <v>32600</v>
      </c>
      <c r="J64" s="78"/>
      <c r="K64" s="107" t="s">
        <v>76</v>
      </c>
      <c r="L64" s="107" t="s">
        <v>76</v>
      </c>
      <c r="M64" s="107" t="s">
        <v>76</v>
      </c>
      <c r="N64" s="107" t="s">
        <v>76</v>
      </c>
      <c r="O64" s="6" t="s">
        <v>76</v>
      </c>
    </row>
    <row r="65" spans="1:15" s="25" customFormat="1" ht="12.75" customHeight="1" hidden="1">
      <c r="A65" s="696"/>
      <c r="B65" s="9"/>
      <c r="C65" s="790"/>
      <c r="D65" s="15"/>
      <c r="E65" s="9"/>
      <c r="F65" s="790"/>
      <c r="G65" s="9" t="s">
        <v>115</v>
      </c>
      <c r="H65" s="126">
        <f t="shared" si="3"/>
        <v>0</v>
      </c>
      <c r="I65" s="78"/>
      <c r="J65" s="78"/>
      <c r="K65" s="107" t="s">
        <v>76</v>
      </c>
      <c r="L65" s="107" t="s">
        <v>76</v>
      </c>
      <c r="M65" s="107" t="s">
        <v>76</v>
      </c>
      <c r="N65" s="107" t="s">
        <v>76</v>
      </c>
      <c r="O65" s="6" t="s">
        <v>76</v>
      </c>
    </row>
    <row r="66" spans="1:15" s="25" customFormat="1" ht="12.75" customHeight="1" hidden="1">
      <c r="A66" s="696"/>
      <c r="B66" s="9"/>
      <c r="C66" s="790"/>
      <c r="D66" s="15"/>
      <c r="E66" s="9"/>
      <c r="F66" s="790"/>
      <c r="G66" s="9"/>
      <c r="H66" s="126">
        <f t="shared" si="3"/>
        <v>0</v>
      </c>
      <c r="I66" s="78"/>
      <c r="J66" s="78"/>
      <c r="K66" s="107" t="s">
        <v>76</v>
      </c>
      <c r="L66" s="107" t="s">
        <v>76</v>
      </c>
      <c r="M66" s="107" t="s">
        <v>76</v>
      </c>
      <c r="N66" s="107" t="s">
        <v>76</v>
      </c>
      <c r="O66" s="6" t="s">
        <v>76</v>
      </c>
    </row>
    <row r="67" spans="1:15" s="25" customFormat="1" ht="12.75" customHeight="1" hidden="1">
      <c r="A67" s="696"/>
      <c r="B67" s="9"/>
      <c r="C67" s="790"/>
      <c r="D67" s="15"/>
      <c r="E67" s="9"/>
      <c r="F67" s="790"/>
      <c r="G67" s="9"/>
      <c r="H67" s="126">
        <f t="shared" si="3"/>
        <v>0</v>
      </c>
      <c r="I67" s="78"/>
      <c r="J67" s="78"/>
      <c r="K67" s="107" t="s">
        <v>76</v>
      </c>
      <c r="L67" s="107" t="s">
        <v>76</v>
      </c>
      <c r="M67" s="107" t="s">
        <v>76</v>
      </c>
      <c r="N67" s="107" t="s">
        <v>76</v>
      </c>
      <c r="O67" s="6" t="s">
        <v>76</v>
      </c>
    </row>
    <row r="68" spans="1:15" s="25" customFormat="1" ht="12.75" customHeight="1" hidden="1">
      <c r="A68" s="696"/>
      <c r="B68" s="9"/>
      <c r="C68" s="790"/>
      <c r="D68" s="15"/>
      <c r="E68" s="9"/>
      <c r="F68" s="790"/>
      <c r="G68" s="9"/>
      <c r="H68" s="126">
        <f t="shared" si="3"/>
        <v>0</v>
      </c>
      <c r="I68" s="78"/>
      <c r="J68" s="78"/>
      <c r="K68" s="107" t="s">
        <v>76</v>
      </c>
      <c r="L68" s="107" t="s">
        <v>76</v>
      </c>
      <c r="M68" s="107" t="s">
        <v>76</v>
      </c>
      <c r="N68" s="107" t="s">
        <v>76</v>
      </c>
      <c r="O68" s="6" t="s">
        <v>76</v>
      </c>
    </row>
    <row r="69" spans="1:15" s="25" customFormat="1" ht="12.75" customHeight="1">
      <c r="A69" s="692"/>
      <c r="B69" s="9"/>
      <c r="C69" s="791"/>
      <c r="D69" s="599">
        <v>14130030000000000</v>
      </c>
      <c r="E69" s="602" t="s">
        <v>108</v>
      </c>
      <c r="F69" s="791"/>
      <c r="G69" s="602" t="s">
        <v>115</v>
      </c>
      <c r="H69" s="600">
        <f t="shared" si="3"/>
        <v>50154.72</v>
      </c>
      <c r="I69" s="605">
        <f>30000+20155-0.28</f>
        <v>50154.72</v>
      </c>
      <c r="J69" s="78"/>
      <c r="K69" s="107" t="s">
        <v>76</v>
      </c>
      <c r="L69" s="107"/>
      <c r="M69" s="107"/>
      <c r="N69" s="107" t="s">
        <v>76</v>
      </c>
      <c r="O69" s="6"/>
    </row>
    <row r="70" spans="1:15" s="25" customFormat="1" ht="12.75" customHeight="1">
      <c r="A70" s="16" t="s">
        <v>8</v>
      </c>
      <c r="B70" s="9"/>
      <c r="C70" s="6" t="s">
        <v>18</v>
      </c>
      <c r="D70" s="9" t="s">
        <v>81</v>
      </c>
      <c r="E70" s="10" t="s">
        <v>108</v>
      </c>
      <c r="F70" s="11" t="s">
        <v>128</v>
      </c>
      <c r="G70" s="10" t="s">
        <v>115</v>
      </c>
      <c r="H70" s="126">
        <f t="shared" si="3"/>
        <v>94600</v>
      </c>
      <c r="I70" s="113">
        <f>102000-7400</f>
        <v>94600</v>
      </c>
      <c r="J70" s="78"/>
      <c r="K70" s="107" t="s">
        <v>76</v>
      </c>
      <c r="L70" s="107"/>
      <c r="M70" s="107"/>
      <c r="N70" s="107" t="s">
        <v>76</v>
      </c>
      <c r="O70" s="6"/>
    </row>
    <row r="71" spans="1:15" s="25" customFormat="1" ht="12.75">
      <c r="A71" s="691" t="s">
        <v>12</v>
      </c>
      <c r="B71" s="9"/>
      <c r="C71" s="693" t="s">
        <v>18</v>
      </c>
      <c r="D71" s="9" t="s">
        <v>81</v>
      </c>
      <c r="E71" s="693" t="s">
        <v>108</v>
      </c>
      <c r="F71" s="693" t="s">
        <v>116</v>
      </c>
      <c r="G71" s="693" t="s">
        <v>115</v>
      </c>
      <c r="H71" s="126">
        <f t="shared" si="3"/>
        <v>184218.4</v>
      </c>
      <c r="I71" s="113">
        <f>216300+56000-21600-2270-11732.2-52479.4</f>
        <v>184218.4</v>
      </c>
      <c r="J71" s="78"/>
      <c r="K71" s="107" t="s">
        <v>76</v>
      </c>
      <c r="L71" s="107" t="s">
        <v>76</v>
      </c>
      <c r="M71" s="107" t="s">
        <v>76</v>
      </c>
      <c r="N71" s="107" t="s">
        <v>76</v>
      </c>
      <c r="O71" s="6" t="s">
        <v>76</v>
      </c>
    </row>
    <row r="72" spans="1:15" s="25" customFormat="1" ht="12.75">
      <c r="A72" s="692"/>
      <c r="B72" s="9"/>
      <c r="C72" s="694"/>
      <c r="D72" s="14">
        <v>14130030000000000</v>
      </c>
      <c r="E72" s="694"/>
      <c r="F72" s="694"/>
      <c r="G72" s="694"/>
      <c r="H72" s="126">
        <f t="shared" si="3"/>
        <v>0</v>
      </c>
      <c r="I72" s="79"/>
      <c r="J72" s="78"/>
      <c r="K72" s="107" t="s">
        <v>76</v>
      </c>
      <c r="L72" s="107" t="s">
        <v>76</v>
      </c>
      <c r="M72" s="107" t="s">
        <v>76</v>
      </c>
      <c r="N72" s="107" t="s">
        <v>76</v>
      </c>
      <c r="O72" s="6"/>
    </row>
    <row r="73" spans="1:15" s="25" customFormat="1" ht="12.75">
      <c r="A73" s="22" t="s">
        <v>13</v>
      </c>
      <c r="B73" s="9"/>
      <c r="C73" s="9"/>
      <c r="D73" s="15"/>
      <c r="E73" s="9"/>
      <c r="F73" s="9" t="s">
        <v>117</v>
      </c>
      <c r="G73" s="9" t="s">
        <v>115</v>
      </c>
      <c r="H73" s="126">
        <f t="shared" si="3"/>
        <v>0</v>
      </c>
      <c r="I73" s="78"/>
      <c r="J73" s="78"/>
      <c r="K73" s="107" t="s">
        <v>76</v>
      </c>
      <c r="L73" s="107" t="s">
        <v>76</v>
      </c>
      <c r="M73" s="107" t="s">
        <v>76</v>
      </c>
      <c r="N73" s="107" t="s">
        <v>76</v>
      </c>
      <c r="O73" s="6" t="s">
        <v>76</v>
      </c>
    </row>
    <row r="74" spans="1:15" s="25" customFormat="1" ht="12.75">
      <c r="A74" s="22" t="s">
        <v>427</v>
      </c>
      <c r="B74" s="9"/>
      <c r="C74" s="6" t="s">
        <v>18</v>
      </c>
      <c r="D74" s="9" t="s">
        <v>81</v>
      </c>
      <c r="E74" s="471" t="s">
        <v>232</v>
      </c>
      <c r="F74" s="9" t="s">
        <v>116</v>
      </c>
      <c r="G74" s="10" t="s">
        <v>115</v>
      </c>
      <c r="H74" s="126">
        <f t="shared" si="3"/>
        <v>21600</v>
      </c>
      <c r="I74" s="78">
        <v>21600</v>
      </c>
      <c r="J74" s="78"/>
      <c r="K74" s="107"/>
      <c r="L74" s="107"/>
      <c r="M74" s="107"/>
      <c r="N74" s="107"/>
      <c r="O74" s="6"/>
    </row>
    <row r="75" spans="1:15" s="25" customFormat="1" ht="25.5">
      <c r="A75" s="22" t="s">
        <v>245</v>
      </c>
      <c r="B75" s="9"/>
      <c r="C75" s="602" t="s">
        <v>18</v>
      </c>
      <c r="D75" s="599">
        <v>14130010000000000</v>
      </c>
      <c r="E75" s="602" t="s">
        <v>108</v>
      </c>
      <c r="F75" s="602" t="s">
        <v>246</v>
      </c>
      <c r="G75" s="603" t="s">
        <v>109</v>
      </c>
      <c r="H75" s="600">
        <f t="shared" si="3"/>
        <v>57402.06</v>
      </c>
      <c r="I75" s="604">
        <f>25500+10404+14200+7298.06</f>
        <v>57402.06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12.75">
      <c r="A76" s="22" t="s">
        <v>14</v>
      </c>
      <c r="B76" s="9"/>
      <c r="C76" s="9" t="s">
        <v>18</v>
      </c>
      <c r="D76" s="9" t="s">
        <v>81</v>
      </c>
      <c r="E76" s="9" t="s">
        <v>108</v>
      </c>
      <c r="F76" s="9" t="s">
        <v>118</v>
      </c>
      <c r="G76" s="9" t="s">
        <v>115</v>
      </c>
      <c r="H76" s="126">
        <f t="shared" si="3"/>
        <v>51979.4</v>
      </c>
      <c r="I76" s="78">
        <f>51979.4</f>
        <v>51979.4</v>
      </c>
      <c r="J76" s="78"/>
      <c r="K76" s="107"/>
      <c r="L76" s="107"/>
      <c r="M76" s="107"/>
      <c r="N76" s="107"/>
      <c r="O76" s="6"/>
    </row>
    <row r="77" spans="1:15" s="25" customFormat="1" ht="12.75">
      <c r="A77" s="22" t="s">
        <v>14</v>
      </c>
      <c r="B77" s="9"/>
      <c r="C77" s="9" t="s">
        <v>18</v>
      </c>
      <c r="D77" s="14">
        <v>14130030000000000</v>
      </c>
      <c r="E77" s="695" t="s">
        <v>108</v>
      </c>
      <c r="F77" s="9" t="s">
        <v>118</v>
      </c>
      <c r="G77" s="9" t="s">
        <v>115</v>
      </c>
      <c r="H77" s="126">
        <f t="shared" si="3"/>
        <v>639045</v>
      </c>
      <c r="I77" s="79">
        <f>641445-2400</f>
        <v>639045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51" hidden="1">
      <c r="A78" s="82" t="s">
        <v>237</v>
      </c>
      <c r="B78" s="9"/>
      <c r="C78" s="83" t="s">
        <v>18</v>
      </c>
      <c r="D78" s="9" t="s">
        <v>81</v>
      </c>
      <c r="E78" s="695"/>
      <c r="F78" s="84" t="s">
        <v>238</v>
      </c>
      <c r="G78" s="84" t="s">
        <v>115</v>
      </c>
      <c r="H78" s="126">
        <f t="shared" si="3"/>
        <v>0</v>
      </c>
      <c r="I78" s="113"/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/>
    </row>
    <row r="79" spans="1:15" s="25" customFormat="1" ht="38.25">
      <c r="A79" s="82" t="s">
        <v>239</v>
      </c>
      <c r="B79" s="9"/>
      <c r="C79" s="83" t="s">
        <v>18</v>
      </c>
      <c r="D79" s="9" t="s">
        <v>81</v>
      </c>
      <c r="E79" s="83" t="s">
        <v>108</v>
      </c>
      <c r="F79" s="84" t="s">
        <v>240</v>
      </c>
      <c r="G79" s="84" t="s">
        <v>115</v>
      </c>
      <c r="H79" s="126">
        <f t="shared" si="3"/>
        <v>1400</v>
      </c>
      <c r="I79" s="106">
        <v>1400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/>
    </row>
    <row r="80" spans="1:15" s="25" customFormat="1" ht="25.5">
      <c r="A80" s="22" t="s">
        <v>241</v>
      </c>
      <c r="B80" s="9"/>
      <c r="C80" s="9" t="s">
        <v>18</v>
      </c>
      <c r="D80" s="9" t="s">
        <v>81</v>
      </c>
      <c r="E80" s="10" t="s">
        <v>108</v>
      </c>
      <c r="F80" s="9" t="s">
        <v>242</v>
      </c>
      <c r="G80" s="9" t="s">
        <v>115</v>
      </c>
      <c r="H80" s="126">
        <f>I80</f>
        <v>3472.2</v>
      </c>
      <c r="I80" s="376">
        <v>3472.2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/>
    </row>
    <row r="81" spans="1:15" s="25" customFormat="1" ht="25.5">
      <c r="A81" s="22" t="s">
        <v>241</v>
      </c>
      <c r="B81" s="9"/>
      <c r="C81" s="9" t="s">
        <v>18</v>
      </c>
      <c r="D81" s="14">
        <v>14130030000000000</v>
      </c>
      <c r="E81" s="10" t="s">
        <v>108</v>
      </c>
      <c r="F81" s="9" t="s">
        <v>242</v>
      </c>
      <c r="G81" s="9" t="s">
        <v>115</v>
      </c>
      <c r="H81" s="126">
        <f t="shared" si="3"/>
        <v>40000</v>
      </c>
      <c r="I81" s="376">
        <f>20000+20000</f>
        <v>40000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/>
    </row>
    <row r="82" spans="1:15" s="25" customFormat="1" ht="25.5">
      <c r="A82" s="394" t="s">
        <v>243</v>
      </c>
      <c r="B82" s="6"/>
      <c r="C82" s="6" t="s">
        <v>18</v>
      </c>
      <c r="D82" s="395">
        <v>14130030000000000</v>
      </c>
      <c r="E82" s="6" t="s">
        <v>108</v>
      </c>
      <c r="F82" s="6" t="s">
        <v>244</v>
      </c>
      <c r="G82" s="6" t="s">
        <v>115</v>
      </c>
      <c r="H82" s="126">
        <f t="shared" si="3"/>
        <v>0</v>
      </c>
      <c r="I82" s="376">
        <f>20000-20000</f>
        <v>0</v>
      </c>
      <c r="J82" s="107"/>
      <c r="K82" s="107" t="s">
        <v>76</v>
      </c>
      <c r="L82" s="107" t="s">
        <v>76</v>
      </c>
      <c r="M82" s="107" t="s">
        <v>76</v>
      </c>
      <c r="N82" s="107" t="s">
        <v>76</v>
      </c>
      <c r="O82" s="6"/>
    </row>
    <row r="83" spans="1:15" s="25" customFormat="1" ht="12.75" hidden="1">
      <c r="A83" s="691" t="s">
        <v>188</v>
      </c>
      <c r="B83" s="9"/>
      <c r="C83" s="693" t="s">
        <v>18</v>
      </c>
      <c r="D83" s="9" t="s">
        <v>81</v>
      </c>
      <c r="E83" s="693" t="s">
        <v>108</v>
      </c>
      <c r="F83" s="693" t="s">
        <v>119</v>
      </c>
      <c r="G83" s="693" t="s">
        <v>115</v>
      </c>
      <c r="H83" s="126">
        <f t="shared" si="3"/>
        <v>0</v>
      </c>
      <c r="I83" s="78"/>
      <c r="J83" s="100"/>
      <c r="K83" s="101" t="s">
        <v>76</v>
      </c>
      <c r="L83" s="101" t="s">
        <v>76</v>
      </c>
      <c r="M83" s="101" t="s">
        <v>76</v>
      </c>
      <c r="N83" s="101" t="s">
        <v>76</v>
      </c>
      <c r="O83" s="6"/>
    </row>
    <row r="84" spans="1:15" s="25" customFormat="1" ht="12.75" hidden="1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0</v>
      </c>
      <c r="I84" s="79"/>
      <c r="J84" s="100"/>
      <c r="K84" s="101" t="s">
        <v>76</v>
      </c>
      <c r="L84" s="101" t="s">
        <v>76</v>
      </c>
      <c r="M84" s="101" t="s">
        <v>76</v>
      </c>
      <c r="N84" s="101" t="s">
        <v>76</v>
      </c>
      <c r="O84" s="6" t="s">
        <v>76</v>
      </c>
    </row>
    <row r="85" spans="1:15" s="25" customFormat="1" ht="27.75" customHeight="1">
      <c r="A85" s="681" t="s">
        <v>189</v>
      </c>
      <c r="B85" s="683"/>
      <c r="C85" s="27" t="s">
        <v>20</v>
      </c>
      <c r="D85" s="3"/>
      <c r="E85" s="27"/>
      <c r="F85" s="3"/>
      <c r="G85" s="3"/>
      <c r="H85" s="124">
        <f t="shared" si="3"/>
        <v>3979039</v>
      </c>
      <c r="I85" s="97">
        <f>SUM(I86:I102)</f>
        <v>3979039</v>
      </c>
      <c r="J85" s="110"/>
      <c r="K85" s="111" t="s">
        <v>107</v>
      </c>
      <c r="L85" s="111"/>
      <c r="M85" s="111"/>
      <c r="N85" s="111" t="s">
        <v>107</v>
      </c>
      <c r="O85" s="28"/>
    </row>
    <row r="86" spans="1:15" s="25" customFormat="1" ht="15" customHeight="1">
      <c r="A86" s="22" t="s">
        <v>9</v>
      </c>
      <c r="B86" s="9"/>
      <c r="C86" s="9" t="s">
        <v>20</v>
      </c>
      <c r="D86" s="9" t="s">
        <v>81</v>
      </c>
      <c r="E86" s="9" t="s">
        <v>108</v>
      </c>
      <c r="F86" s="9" t="s">
        <v>120</v>
      </c>
      <c r="G86" s="9" t="s">
        <v>115</v>
      </c>
      <c r="H86" s="126">
        <f t="shared" si="3"/>
        <v>920797.33</v>
      </c>
      <c r="I86" s="78">
        <f>1083500-149361-13341.67</f>
        <v>920797.33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5" customHeight="1">
      <c r="A87" s="82" t="s">
        <v>8</v>
      </c>
      <c r="B87" s="9"/>
      <c r="C87" s="10" t="s">
        <v>20</v>
      </c>
      <c r="D87" s="9" t="s">
        <v>81</v>
      </c>
      <c r="E87" s="10" t="s">
        <v>108</v>
      </c>
      <c r="F87" s="10" t="s">
        <v>128</v>
      </c>
      <c r="G87" s="10" t="s">
        <v>115</v>
      </c>
      <c r="H87" s="126">
        <f t="shared" si="3"/>
        <v>14622.89</v>
      </c>
      <c r="I87" s="78">
        <f>17547.48-2924.59</f>
        <v>14622.89</v>
      </c>
      <c r="J87" s="78"/>
      <c r="K87" s="107"/>
      <c r="L87" s="107"/>
      <c r="M87" s="107"/>
      <c r="N87" s="107"/>
      <c r="O87" s="6"/>
    </row>
    <row r="88" spans="1:15" s="25" customFormat="1" ht="15" customHeight="1">
      <c r="A88" s="691" t="s">
        <v>11</v>
      </c>
      <c r="B88" s="9"/>
      <c r="C88" s="6" t="s">
        <v>20</v>
      </c>
      <c r="D88" s="9" t="s">
        <v>81</v>
      </c>
      <c r="E88" s="6" t="s">
        <v>108</v>
      </c>
      <c r="F88" s="6" t="s">
        <v>121</v>
      </c>
      <c r="G88" s="6" t="s">
        <v>115</v>
      </c>
      <c r="H88" s="126">
        <f t="shared" si="3"/>
        <v>219742.45</v>
      </c>
      <c r="I88" s="112">
        <f>246900-15000-12157.55</f>
        <v>219742.45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 t="s">
        <v>76</v>
      </c>
    </row>
    <row r="89" spans="1:15" s="25" customFormat="1" ht="12.75">
      <c r="A89" s="692"/>
      <c r="B89" s="9"/>
      <c r="C89" s="9" t="s">
        <v>20</v>
      </c>
      <c r="D89" s="14">
        <v>14130030000000000</v>
      </c>
      <c r="E89" s="9" t="s">
        <v>108</v>
      </c>
      <c r="F89" s="6" t="s">
        <v>121</v>
      </c>
      <c r="G89" s="6" t="s">
        <v>115</v>
      </c>
      <c r="H89" s="126">
        <f t="shared" si="3"/>
        <v>2020000</v>
      </c>
      <c r="I89" s="112">
        <v>2020000</v>
      </c>
      <c r="J89" s="362"/>
      <c r="K89" s="107" t="s">
        <v>76</v>
      </c>
      <c r="L89" s="107"/>
      <c r="M89" s="107"/>
      <c r="N89" s="107" t="s">
        <v>76</v>
      </c>
      <c r="O89" s="6"/>
    </row>
    <row r="90" spans="1:15" s="25" customFormat="1" ht="12.75">
      <c r="A90" s="691" t="s">
        <v>12</v>
      </c>
      <c r="B90" s="9"/>
      <c r="C90" s="6" t="s">
        <v>20</v>
      </c>
      <c r="D90" s="9" t="s">
        <v>81</v>
      </c>
      <c r="E90" s="6" t="s">
        <v>108</v>
      </c>
      <c r="F90" s="6" t="s">
        <v>116</v>
      </c>
      <c r="G90" s="6" t="s">
        <v>115</v>
      </c>
      <c r="H90" s="126">
        <f t="shared" si="3"/>
        <v>76848</v>
      </c>
      <c r="I90" s="78">
        <f>99900-17547.48-5504.52</f>
        <v>76848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 t="s">
        <v>76</v>
      </c>
    </row>
    <row r="91" spans="1:15" s="25" customFormat="1" ht="12.75">
      <c r="A91" s="692"/>
      <c r="B91" s="9"/>
      <c r="C91" s="9" t="s">
        <v>20</v>
      </c>
      <c r="D91" s="14">
        <v>14130030000000000</v>
      </c>
      <c r="E91" s="9" t="s">
        <v>108</v>
      </c>
      <c r="F91" s="6" t="s">
        <v>116</v>
      </c>
      <c r="G91" s="6" t="s">
        <v>115</v>
      </c>
      <c r="H91" s="126">
        <f t="shared" si="3"/>
        <v>534800</v>
      </c>
      <c r="I91" s="115">
        <v>534800</v>
      </c>
      <c r="J91" s="78"/>
      <c r="K91" s="107" t="s">
        <v>76</v>
      </c>
      <c r="L91" s="107"/>
      <c r="M91" s="107"/>
      <c r="N91" s="107" t="s">
        <v>76</v>
      </c>
      <c r="O91" s="6"/>
    </row>
    <row r="92" spans="1:15" s="25" customFormat="1" ht="12.75">
      <c r="A92" s="22" t="s">
        <v>249</v>
      </c>
      <c r="B92" s="9"/>
      <c r="C92" s="9" t="s">
        <v>20</v>
      </c>
      <c r="D92" s="9" t="s">
        <v>81</v>
      </c>
      <c r="E92" s="9" t="s">
        <v>108</v>
      </c>
      <c r="F92" s="9" t="s">
        <v>206</v>
      </c>
      <c r="G92" s="9" t="s">
        <v>122</v>
      </c>
      <c r="H92" s="126">
        <f t="shared" si="3"/>
        <v>60200</v>
      </c>
      <c r="I92" s="78">
        <f>55400+4800</f>
        <v>60200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2.75" hidden="1">
      <c r="A93" s="22" t="s">
        <v>249</v>
      </c>
      <c r="B93" s="9"/>
      <c r="C93" s="9" t="s">
        <v>20</v>
      </c>
      <c r="D93" s="9" t="s">
        <v>81</v>
      </c>
      <c r="E93" s="9" t="s">
        <v>108</v>
      </c>
      <c r="F93" s="9" t="s">
        <v>206</v>
      </c>
      <c r="G93" s="9" t="s">
        <v>250</v>
      </c>
      <c r="H93" s="126">
        <f t="shared" si="3"/>
        <v>0</v>
      </c>
      <c r="I93" s="79">
        <f>4800-4800</f>
        <v>0</v>
      </c>
      <c r="J93" s="78"/>
      <c r="K93" s="107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>
      <c r="A94" s="22" t="s">
        <v>14</v>
      </c>
      <c r="B94" s="9"/>
      <c r="C94" s="9" t="s">
        <v>20</v>
      </c>
      <c r="D94" s="9" t="s">
        <v>81</v>
      </c>
      <c r="E94" s="10" t="s">
        <v>108</v>
      </c>
      <c r="F94" s="9" t="s">
        <v>118</v>
      </c>
      <c r="G94" s="9" t="s">
        <v>115</v>
      </c>
      <c r="H94" s="126">
        <f t="shared" si="3"/>
        <v>30000</v>
      </c>
      <c r="I94" s="78">
        <v>30000</v>
      </c>
      <c r="J94" s="78"/>
      <c r="K94" s="107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51" hidden="1">
      <c r="A95" s="82" t="s">
        <v>237</v>
      </c>
      <c r="B95" s="9"/>
      <c r="C95" s="83" t="s">
        <v>18</v>
      </c>
      <c r="D95" s="9" t="s">
        <v>81</v>
      </c>
      <c r="E95" s="83" t="s">
        <v>124</v>
      </c>
      <c r="F95" s="84" t="s">
        <v>238</v>
      </c>
      <c r="G95" s="84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/>
    </row>
    <row r="96" spans="1:15" s="25" customFormat="1" ht="38.25" hidden="1">
      <c r="A96" s="82" t="s">
        <v>239</v>
      </c>
      <c r="B96" s="9"/>
      <c r="C96" s="83" t="s">
        <v>18</v>
      </c>
      <c r="D96" s="9" t="s">
        <v>81</v>
      </c>
      <c r="E96" s="83" t="s">
        <v>124</v>
      </c>
      <c r="F96" s="84" t="s">
        <v>240</v>
      </c>
      <c r="G96" s="84" t="s">
        <v>115</v>
      </c>
      <c r="H96" s="126">
        <f t="shared" si="3"/>
        <v>0</v>
      </c>
      <c r="I96" s="78"/>
      <c r="J96" s="78"/>
      <c r="K96" s="107" t="s">
        <v>76</v>
      </c>
      <c r="L96" s="107" t="s">
        <v>76</v>
      </c>
      <c r="M96" s="107" t="s">
        <v>76</v>
      </c>
      <c r="N96" s="107" t="s">
        <v>76</v>
      </c>
      <c r="O96" s="6"/>
    </row>
    <row r="97" spans="1:15" s="25" customFormat="1" ht="25.5">
      <c r="A97" s="85" t="s">
        <v>248</v>
      </c>
      <c r="B97" s="9"/>
      <c r="C97" s="9" t="s">
        <v>20</v>
      </c>
      <c r="D97" s="9" t="s">
        <v>81</v>
      </c>
      <c r="E97" s="10" t="s">
        <v>108</v>
      </c>
      <c r="F97" s="10" t="s">
        <v>247</v>
      </c>
      <c r="G97" s="10" t="s">
        <v>115</v>
      </c>
      <c r="H97" s="126">
        <f t="shared" si="3"/>
        <v>64028.33</v>
      </c>
      <c r="I97" s="78">
        <f>10000+10000+15000-15000+10100+33928.33</f>
        <v>64028.33</v>
      </c>
      <c r="J97" s="78"/>
      <c r="K97" s="107" t="s">
        <v>76</v>
      </c>
      <c r="L97" s="107" t="s">
        <v>76</v>
      </c>
      <c r="M97" s="107" t="s">
        <v>76</v>
      </c>
      <c r="N97" s="107" t="s">
        <v>76</v>
      </c>
      <c r="O97" s="6"/>
    </row>
    <row r="98" spans="1:15" s="25" customFormat="1" ht="25.5">
      <c r="A98" s="22" t="s">
        <v>241</v>
      </c>
      <c r="B98" s="9"/>
      <c r="C98" s="9" t="s">
        <v>20</v>
      </c>
      <c r="D98" s="9" t="s">
        <v>81</v>
      </c>
      <c r="E98" s="9" t="s">
        <v>108</v>
      </c>
      <c r="F98" s="9" t="s">
        <v>242</v>
      </c>
      <c r="G98" s="9" t="s">
        <v>115</v>
      </c>
      <c r="H98" s="126">
        <f t="shared" si="3"/>
        <v>38000</v>
      </c>
      <c r="I98" s="78">
        <f>33100+15000-10100</f>
        <v>38000</v>
      </c>
      <c r="J98" s="78"/>
      <c r="K98" s="107" t="s">
        <v>76</v>
      </c>
      <c r="L98" s="107" t="s">
        <v>76</v>
      </c>
      <c r="M98" s="107" t="s">
        <v>76</v>
      </c>
      <c r="N98" s="107" t="s">
        <v>76</v>
      </c>
      <c r="O98" s="6"/>
    </row>
    <row r="99" spans="1:15" s="25" customFormat="1" ht="25.5" hidden="1">
      <c r="A99" s="85" t="s">
        <v>243</v>
      </c>
      <c r="B99" s="57"/>
      <c r="C99" s="9" t="s">
        <v>20</v>
      </c>
      <c r="D99" s="9" t="s">
        <v>81</v>
      </c>
      <c r="E99" s="9" t="s">
        <v>108</v>
      </c>
      <c r="F99" s="9" t="s">
        <v>244</v>
      </c>
      <c r="G99" s="9" t="s">
        <v>115</v>
      </c>
      <c r="H99" s="126">
        <f t="shared" si="3"/>
        <v>0</v>
      </c>
      <c r="I99" s="78">
        <f>10000-10000</f>
        <v>0</v>
      </c>
      <c r="J99" s="78"/>
      <c r="K99" s="107" t="s">
        <v>76</v>
      </c>
      <c r="L99" s="107" t="s">
        <v>76</v>
      </c>
      <c r="M99" s="107" t="s">
        <v>76</v>
      </c>
      <c r="N99" s="107" t="s">
        <v>76</v>
      </c>
      <c r="O99" s="6"/>
    </row>
    <row r="100" spans="1:15" s="25" customFormat="1" ht="12.75" hidden="1">
      <c r="A100" s="22"/>
      <c r="B100" s="9"/>
      <c r="C100" s="9"/>
      <c r="D100" s="9"/>
      <c r="E100" s="9"/>
      <c r="F100" s="9"/>
      <c r="G100" s="9"/>
      <c r="H100" s="126"/>
      <c r="I100" s="78"/>
      <c r="J100" s="78"/>
      <c r="K100" s="107"/>
      <c r="L100" s="107"/>
      <c r="M100" s="107"/>
      <c r="N100" s="107"/>
      <c r="O100" s="6"/>
    </row>
    <row r="101" spans="1:15" s="25" customFormat="1" ht="12.75" hidden="1">
      <c r="A101" s="22"/>
      <c r="B101" s="9"/>
      <c r="C101" s="9"/>
      <c r="D101" s="9"/>
      <c r="E101" s="9"/>
      <c r="F101" s="9"/>
      <c r="G101" s="9"/>
      <c r="H101" s="126"/>
      <c r="I101" s="78"/>
      <c r="J101" s="78"/>
      <c r="K101" s="107"/>
      <c r="L101" s="107"/>
      <c r="M101" s="107"/>
      <c r="N101" s="107"/>
      <c r="O101" s="6"/>
    </row>
    <row r="102" spans="1:15" s="25" customFormat="1" ht="12.75" hidden="1">
      <c r="A102" s="22" t="s">
        <v>188</v>
      </c>
      <c r="B102" s="9"/>
      <c r="C102" s="9" t="s">
        <v>20</v>
      </c>
      <c r="D102" s="9" t="s">
        <v>81</v>
      </c>
      <c r="E102" s="9" t="s">
        <v>108</v>
      </c>
      <c r="F102" s="9" t="s">
        <v>119</v>
      </c>
      <c r="G102" s="9" t="s">
        <v>115</v>
      </c>
      <c r="H102" s="126">
        <f>I102</f>
        <v>0</v>
      </c>
      <c r="I102" s="78"/>
      <c r="J102" s="78"/>
      <c r="K102" s="107" t="s">
        <v>76</v>
      </c>
      <c r="L102" s="107" t="s">
        <v>76</v>
      </c>
      <c r="M102" s="107" t="s">
        <v>76</v>
      </c>
      <c r="N102" s="107" t="s">
        <v>76</v>
      </c>
      <c r="O102" s="6" t="s">
        <v>76</v>
      </c>
    </row>
    <row r="103" spans="1:15" s="25" customFormat="1" ht="13.5">
      <c r="A103" s="681" t="s">
        <v>125</v>
      </c>
      <c r="B103" s="683"/>
      <c r="C103" s="27" t="s">
        <v>21</v>
      </c>
      <c r="D103" s="3"/>
      <c r="E103" s="27"/>
      <c r="F103" s="3"/>
      <c r="G103" s="3"/>
      <c r="H103" s="124">
        <f>K103</f>
        <v>687276</v>
      </c>
      <c r="I103" s="98"/>
      <c r="J103" s="97"/>
      <c r="K103" s="97">
        <f>K106</f>
        <v>687276</v>
      </c>
      <c r="L103" s="110"/>
      <c r="M103" s="110"/>
      <c r="N103" s="111" t="s">
        <v>107</v>
      </c>
      <c r="O103" s="28"/>
    </row>
    <row r="104" spans="1:15" s="25" customFormat="1" ht="12.75" hidden="1">
      <c r="A104" s="22" t="s">
        <v>4</v>
      </c>
      <c r="B104" s="9"/>
      <c r="C104" s="9"/>
      <c r="D104" s="9"/>
      <c r="E104" s="9"/>
      <c r="F104" s="9" t="s">
        <v>99</v>
      </c>
      <c r="G104" s="9" t="s">
        <v>109</v>
      </c>
      <c r="H104" s="126">
        <f>I104</f>
        <v>0</v>
      </c>
      <c r="I104" s="78"/>
      <c r="J104" s="78"/>
      <c r="K104" s="116" t="s">
        <v>76</v>
      </c>
      <c r="L104" s="107" t="s">
        <v>76</v>
      </c>
      <c r="M104" s="107" t="s">
        <v>76</v>
      </c>
      <c r="N104" s="107" t="s">
        <v>76</v>
      </c>
      <c r="O104" s="6" t="s">
        <v>76</v>
      </c>
    </row>
    <row r="105" spans="1:15" s="25" customFormat="1" ht="12.75" hidden="1">
      <c r="A105" s="22" t="s">
        <v>5</v>
      </c>
      <c r="B105" s="9"/>
      <c r="C105" s="9"/>
      <c r="D105" s="9"/>
      <c r="E105" s="9"/>
      <c r="F105" s="9"/>
      <c r="G105" s="9"/>
      <c r="H105" s="126">
        <f>I105</f>
        <v>0</v>
      </c>
      <c r="I105" s="78"/>
      <c r="J105" s="78"/>
      <c r="K105" s="116" t="s">
        <v>76</v>
      </c>
      <c r="L105" s="107" t="s">
        <v>76</v>
      </c>
      <c r="M105" s="107" t="s">
        <v>76</v>
      </c>
      <c r="N105" s="107" t="s">
        <v>76</v>
      </c>
      <c r="O105" s="6" t="s">
        <v>76</v>
      </c>
    </row>
    <row r="106" spans="1:15" s="25" customFormat="1" ht="13.5">
      <c r="A106" s="22" t="s">
        <v>12</v>
      </c>
      <c r="B106" s="9"/>
      <c r="C106" s="41" t="s">
        <v>21</v>
      </c>
      <c r="D106" s="9" t="s">
        <v>89</v>
      </c>
      <c r="E106" s="9" t="s">
        <v>126</v>
      </c>
      <c r="F106" s="9" t="s">
        <v>116</v>
      </c>
      <c r="G106" s="9" t="s">
        <v>115</v>
      </c>
      <c r="H106" s="126">
        <f aca="true" t="shared" si="4" ref="H106:H121">K106</f>
        <v>687276</v>
      </c>
      <c r="I106" s="107" t="s">
        <v>76</v>
      </c>
      <c r="J106" s="78"/>
      <c r="K106" s="391">
        <f>676900-23560+30400+3536</f>
        <v>687276</v>
      </c>
      <c r="L106" s="107" t="s">
        <v>76</v>
      </c>
      <c r="M106" s="107" t="s">
        <v>76</v>
      </c>
      <c r="N106" s="107" t="s">
        <v>76</v>
      </c>
      <c r="O106" s="6" t="s">
        <v>76</v>
      </c>
    </row>
    <row r="107" spans="1:15" s="25" customFormat="1" ht="18.75" customHeight="1" hidden="1">
      <c r="A107" s="687" t="s">
        <v>127</v>
      </c>
      <c r="B107" s="688"/>
      <c r="C107" s="27" t="s">
        <v>22</v>
      </c>
      <c r="D107" s="3"/>
      <c r="E107" s="3"/>
      <c r="F107" s="3"/>
      <c r="G107" s="3"/>
      <c r="H107" s="131">
        <f t="shared" si="4"/>
        <v>0</v>
      </c>
      <c r="I107" s="117"/>
      <c r="J107" s="110"/>
      <c r="K107" s="118">
        <f>K108</f>
        <v>0</v>
      </c>
      <c r="L107" s="117"/>
      <c r="M107" s="117"/>
      <c r="N107" s="117"/>
      <c r="O107" s="6"/>
    </row>
    <row r="108" spans="1:15" s="25" customFormat="1" ht="13.5" customHeight="1" hidden="1">
      <c r="A108" s="22" t="s">
        <v>12</v>
      </c>
      <c r="B108" s="40"/>
      <c r="C108" s="41" t="s">
        <v>22</v>
      </c>
      <c r="D108" s="9" t="s">
        <v>81</v>
      </c>
      <c r="E108" s="9" t="s">
        <v>108</v>
      </c>
      <c r="F108" s="9" t="s">
        <v>116</v>
      </c>
      <c r="G108" s="9" t="s">
        <v>115</v>
      </c>
      <c r="H108" s="126">
        <f t="shared" si="4"/>
        <v>0</v>
      </c>
      <c r="I108" s="107" t="s">
        <v>76</v>
      </c>
      <c r="J108" s="78"/>
      <c r="K108" s="116"/>
      <c r="L108" s="107"/>
      <c r="M108" s="107"/>
      <c r="N108" s="107" t="s">
        <v>76</v>
      </c>
      <c r="O108" s="6"/>
    </row>
    <row r="109" spans="1:15" s="25" customFormat="1" ht="28.5" customHeight="1">
      <c r="A109" s="39" t="s">
        <v>190</v>
      </c>
      <c r="B109" s="55"/>
      <c r="C109" s="27" t="s">
        <v>41</v>
      </c>
      <c r="D109" s="3"/>
      <c r="E109" s="3"/>
      <c r="F109" s="3"/>
      <c r="G109" s="3"/>
      <c r="H109" s="124">
        <f t="shared" si="4"/>
        <v>24000</v>
      </c>
      <c r="I109" s="119"/>
      <c r="J109" s="97"/>
      <c r="K109" s="120">
        <f>K110</f>
        <v>24000</v>
      </c>
      <c r="L109" s="117"/>
      <c r="M109" s="117"/>
      <c r="N109" s="117"/>
      <c r="O109" s="6"/>
    </row>
    <row r="110" spans="1:15" s="25" customFormat="1" ht="12.75">
      <c r="A110" s="22" t="s">
        <v>12</v>
      </c>
      <c r="B110" s="40"/>
      <c r="C110" s="9" t="s">
        <v>41</v>
      </c>
      <c r="D110" s="9" t="s">
        <v>81</v>
      </c>
      <c r="E110" s="9" t="s">
        <v>154</v>
      </c>
      <c r="F110" s="9" t="s">
        <v>116</v>
      </c>
      <c r="G110" s="9" t="s">
        <v>115</v>
      </c>
      <c r="H110" s="126">
        <f t="shared" si="4"/>
        <v>24000</v>
      </c>
      <c r="I110" s="107" t="s">
        <v>76</v>
      </c>
      <c r="J110" s="78"/>
      <c r="K110" s="116">
        <v>24000</v>
      </c>
      <c r="L110" s="107"/>
      <c r="M110" s="107"/>
      <c r="N110" s="107" t="s">
        <v>76</v>
      </c>
      <c r="O110" s="6"/>
    </row>
    <row r="111" spans="1:15" s="25" customFormat="1" ht="36" customHeight="1">
      <c r="A111" s="681" t="s">
        <v>374</v>
      </c>
      <c r="B111" s="683"/>
      <c r="C111" s="27" t="s">
        <v>373</v>
      </c>
      <c r="D111" s="3"/>
      <c r="E111" s="3"/>
      <c r="F111" s="3"/>
      <c r="G111" s="3"/>
      <c r="H111" s="435">
        <f t="shared" si="4"/>
        <v>60000</v>
      </c>
      <c r="I111" s="436" t="s">
        <v>76</v>
      </c>
      <c r="J111" s="437"/>
      <c r="K111" s="435">
        <f>SUM(K112:K115)</f>
        <v>60000</v>
      </c>
      <c r="L111" s="435">
        <f>SUM(L112:L115)</f>
        <v>0</v>
      </c>
      <c r="M111" s="435">
        <f>SUM(M112:M115)</f>
        <v>0</v>
      </c>
      <c r="N111" s="435"/>
      <c r="O111" s="6"/>
    </row>
    <row r="112" spans="1:15" s="25" customFormat="1" ht="12.75">
      <c r="A112" s="8" t="s">
        <v>335</v>
      </c>
      <c r="B112" s="40"/>
      <c r="C112" s="60" t="s">
        <v>373</v>
      </c>
      <c r="D112" s="434" t="s">
        <v>332</v>
      </c>
      <c r="E112" s="9" t="s">
        <v>108</v>
      </c>
      <c r="F112" s="9" t="s">
        <v>116</v>
      </c>
      <c r="G112" s="9" t="s">
        <v>115</v>
      </c>
      <c r="H112" s="433">
        <f t="shared" si="4"/>
        <v>43200</v>
      </c>
      <c r="I112" s="107"/>
      <c r="J112" s="78"/>
      <c r="K112" s="116">
        <v>43200</v>
      </c>
      <c r="L112" s="107"/>
      <c r="M112" s="107"/>
      <c r="N112" s="107"/>
      <c r="O112" s="6"/>
    </row>
    <row r="113" spans="1:15" s="25" customFormat="1" ht="12.75">
      <c r="A113" s="8" t="s">
        <v>336</v>
      </c>
      <c r="B113" s="40"/>
      <c r="C113" s="60" t="s">
        <v>373</v>
      </c>
      <c r="D113" s="434" t="s">
        <v>214</v>
      </c>
      <c r="E113" s="9" t="s">
        <v>108</v>
      </c>
      <c r="F113" s="9" t="s">
        <v>116</v>
      </c>
      <c r="G113" s="9" t="s">
        <v>115</v>
      </c>
      <c r="H113" s="433">
        <f t="shared" si="4"/>
        <v>4800</v>
      </c>
      <c r="I113" s="107"/>
      <c r="J113" s="78"/>
      <c r="K113" s="116">
        <v>4800</v>
      </c>
      <c r="L113" s="107"/>
      <c r="M113" s="107"/>
      <c r="N113" s="107"/>
      <c r="O113" s="6"/>
    </row>
    <row r="114" spans="1:15" s="25" customFormat="1" ht="12.75">
      <c r="A114" s="8" t="s">
        <v>336</v>
      </c>
      <c r="B114" s="40"/>
      <c r="C114" s="60" t="s">
        <v>373</v>
      </c>
      <c r="D114" s="434" t="s">
        <v>333</v>
      </c>
      <c r="E114" s="9" t="s">
        <v>108</v>
      </c>
      <c r="F114" s="9" t="s">
        <v>116</v>
      </c>
      <c r="G114" s="9" t="s">
        <v>115</v>
      </c>
      <c r="H114" s="433">
        <f t="shared" si="4"/>
        <v>10800</v>
      </c>
      <c r="I114" s="107"/>
      <c r="J114" s="78"/>
      <c r="K114" s="116">
        <v>10800</v>
      </c>
      <c r="L114" s="107"/>
      <c r="M114" s="107"/>
      <c r="N114" s="107"/>
      <c r="O114" s="6"/>
    </row>
    <row r="115" spans="1:15" s="25" customFormat="1" ht="12.75">
      <c r="A115" s="8" t="s">
        <v>337</v>
      </c>
      <c r="B115" s="40"/>
      <c r="C115" s="60" t="s">
        <v>373</v>
      </c>
      <c r="D115" s="434" t="s">
        <v>216</v>
      </c>
      <c r="E115" s="9" t="s">
        <v>108</v>
      </c>
      <c r="F115" s="9" t="s">
        <v>116</v>
      </c>
      <c r="G115" s="9" t="s">
        <v>115</v>
      </c>
      <c r="H115" s="433">
        <f t="shared" si="4"/>
        <v>1200</v>
      </c>
      <c r="I115" s="107"/>
      <c r="J115" s="78"/>
      <c r="K115" s="116">
        <v>1200</v>
      </c>
      <c r="L115" s="107"/>
      <c r="M115" s="107"/>
      <c r="N115" s="107"/>
      <c r="O115" s="6"/>
    </row>
    <row r="116" spans="1:15" s="25" customFormat="1" ht="41.25" customHeight="1">
      <c r="A116" s="681" t="s">
        <v>334</v>
      </c>
      <c r="B116" s="683"/>
      <c r="C116" s="27" t="s">
        <v>211</v>
      </c>
      <c r="D116" s="3"/>
      <c r="E116" s="3"/>
      <c r="F116" s="3"/>
      <c r="G116" s="3"/>
      <c r="H116" s="124">
        <f t="shared" si="4"/>
        <v>224673</v>
      </c>
      <c r="I116" s="117" t="s">
        <v>76</v>
      </c>
      <c r="J116" s="110"/>
      <c r="K116" s="97">
        <f>SUM(K117:K121)</f>
        <v>224673</v>
      </c>
      <c r="L116" s="117"/>
      <c r="M116" s="117"/>
      <c r="N116" s="117" t="s">
        <v>76</v>
      </c>
      <c r="O116" s="6"/>
    </row>
    <row r="117" spans="1:15" s="25" customFormat="1" ht="12.75">
      <c r="A117" s="22" t="s">
        <v>12</v>
      </c>
      <c r="B117" s="57"/>
      <c r="C117" s="9" t="s">
        <v>204</v>
      </c>
      <c r="D117" s="9" t="s">
        <v>81</v>
      </c>
      <c r="E117" s="9" t="s">
        <v>108</v>
      </c>
      <c r="F117" s="9" t="s">
        <v>116</v>
      </c>
      <c r="G117" s="9" t="s">
        <v>115</v>
      </c>
      <c r="H117" s="126">
        <f t="shared" si="4"/>
        <v>80000</v>
      </c>
      <c r="I117" s="107" t="s">
        <v>76</v>
      </c>
      <c r="J117" s="107"/>
      <c r="K117" s="116">
        <v>80000</v>
      </c>
      <c r="L117" s="107"/>
      <c r="M117" s="107"/>
      <c r="N117" s="107" t="s">
        <v>76</v>
      </c>
      <c r="O117" s="6"/>
    </row>
    <row r="118" spans="1:15" s="25" customFormat="1" ht="12.75">
      <c r="A118" s="22" t="s">
        <v>14</v>
      </c>
      <c r="B118" s="9"/>
      <c r="C118" s="9" t="s">
        <v>211</v>
      </c>
      <c r="D118" s="9" t="s">
        <v>81</v>
      </c>
      <c r="E118" s="9" t="s">
        <v>108</v>
      </c>
      <c r="F118" s="9" t="s">
        <v>118</v>
      </c>
      <c r="G118" s="9" t="s">
        <v>115</v>
      </c>
      <c r="H118" s="126">
        <f t="shared" si="4"/>
        <v>144673</v>
      </c>
      <c r="I118" s="107" t="s">
        <v>76</v>
      </c>
      <c r="J118" s="78"/>
      <c r="K118" s="109">
        <f>24673+120000</f>
        <v>144673</v>
      </c>
      <c r="L118" s="107"/>
      <c r="M118" s="107"/>
      <c r="N118" s="107" t="s">
        <v>76</v>
      </c>
      <c r="O118" s="64" t="s">
        <v>76</v>
      </c>
    </row>
    <row r="119" spans="1:15" s="25" customFormat="1" ht="12.75">
      <c r="A119" s="8" t="s">
        <v>336</v>
      </c>
      <c r="B119" s="9"/>
      <c r="C119" s="9" t="s">
        <v>211</v>
      </c>
      <c r="D119" s="393" t="s">
        <v>214</v>
      </c>
      <c r="E119" s="9" t="s">
        <v>108</v>
      </c>
      <c r="F119" s="9" t="s">
        <v>116</v>
      </c>
      <c r="G119" s="9" t="s">
        <v>115</v>
      </c>
      <c r="H119" s="126">
        <f t="shared" si="4"/>
        <v>0</v>
      </c>
      <c r="I119" s="107" t="s">
        <v>76</v>
      </c>
      <c r="J119" s="78"/>
      <c r="K119" s="78"/>
      <c r="L119" s="107"/>
      <c r="M119" s="107"/>
      <c r="N119" s="107" t="s">
        <v>76</v>
      </c>
      <c r="O119" s="6"/>
    </row>
    <row r="120" spans="1:15" s="25" customFormat="1" ht="12.75">
      <c r="A120" s="8" t="s">
        <v>336</v>
      </c>
      <c r="B120" s="9"/>
      <c r="C120" s="9" t="s">
        <v>211</v>
      </c>
      <c r="D120" s="393" t="s">
        <v>333</v>
      </c>
      <c r="E120" s="9" t="s">
        <v>108</v>
      </c>
      <c r="F120" s="9" t="s">
        <v>116</v>
      </c>
      <c r="G120" s="9" t="s">
        <v>115</v>
      </c>
      <c r="H120" s="126">
        <f t="shared" si="4"/>
        <v>0</v>
      </c>
      <c r="I120" s="107" t="s">
        <v>76</v>
      </c>
      <c r="J120" s="78"/>
      <c r="K120" s="78"/>
      <c r="L120" s="107"/>
      <c r="M120" s="107"/>
      <c r="N120" s="107" t="s">
        <v>76</v>
      </c>
      <c r="O120" s="6"/>
    </row>
    <row r="121" spans="1:15" s="25" customFormat="1" ht="12.75">
      <c r="A121" s="8" t="s">
        <v>337</v>
      </c>
      <c r="B121" s="9"/>
      <c r="C121" s="9" t="s">
        <v>211</v>
      </c>
      <c r="D121" s="393" t="s">
        <v>216</v>
      </c>
      <c r="E121" s="9" t="s">
        <v>108</v>
      </c>
      <c r="F121" s="9" t="s">
        <v>116</v>
      </c>
      <c r="G121" s="9" t="s">
        <v>115</v>
      </c>
      <c r="H121" s="126">
        <f t="shared" si="4"/>
        <v>0</v>
      </c>
      <c r="I121" s="107" t="s">
        <v>76</v>
      </c>
      <c r="J121" s="78"/>
      <c r="K121" s="78"/>
      <c r="L121" s="107"/>
      <c r="M121" s="107"/>
      <c r="N121" s="107" t="s">
        <v>76</v>
      </c>
      <c r="O121" s="6"/>
    </row>
    <row r="122" spans="1:15" s="25" customFormat="1" ht="41.25" customHeight="1">
      <c r="A122" s="681" t="s">
        <v>360</v>
      </c>
      <c r="B122" s="683"/>
      <c r="C122" s="27" t="s">
        <v>51</v>
      </c>
      <c r="D122" s="43"/>
      <c r="E122" s="42"/>
      <c r="F122" s="42"/>
      <c r="G122" s="42"/>
      <c r="H122" s="124"/>
      <c r="I122" s="119"/>
      <c r="J122" s="97"/>
      <c r="K122" s="120">
        <f>SUM(K124:K133)</f>
        <v>516025.7</v>
      </c>
      <c r="L122" s="119"/>
      <c r="M122" s="119"/>
      <c r="N122" s="119"/>
      <c r="O122" s="6"/>
    </row>
    <row r="123" spans="1:15" s="25" customFormat="1" ht="12.75" hidden="1">
      <c r="A123" s="61" t="s">
        <v>11</v>
      </c>
      <c r="B123" s="59"/>
      <c r="C123" s="59" t="s">
        <v>51</v>
      </c>
      <c r="D123" s="59" t="s">
        <v>81</v>
      </c>
      <c r="E123" s="59" t="s">
        <v>218</v>
      </c>
      <c r="F123" s="59" t="s">
        <v>121</v>
      </c>
      <c r="G123" s="59" t="s">
        <v>115</v>
      </c>
      <c r="H123" s="127">
        <f aca="true" t="shared" si="5" ref="H123:H133">K123</f>
        <v>0</v>
      </c>
      <c r="I123" s="101" t="s">
        <v>76</v>
      </c>
      <c r="J123" s="102"/>
      <c r="K123" s="104"/>
      <c r="L123" s="102"/>
      <c r="M123" s="100"/>
      <c r="N123" s="101" t="s">
        <v>76</v>
      </c>
      <c r="O123" s="6"/>
    </row>
    <row r="124" spans="1:15" s="25" customFormat="1" ht="12.75">
      <c r="A124" s="691" t="s">
        <v>12</v>
      </c>
      <c r="B124" s="9"/>
      <c r="C124" s="693" t="s">
        <v>51</v>
      </c>
      <c r="D124" s="9" t="s">
        <v>81</v>
      </c>
      <c r="E124" s="693" t="s">
        <v>218</v>
      </c>
      <c r="F124" s="693" t="s">
        <v>116</v>
      </c>
      <c r="G124" s="693" t="s">
        <v>115</v>
      </c>
      <c r="H124" s="126">
        <f t="shared" si="5"/>
        <v>201123.7</v>
      </c>
      <c r="I124" s="107" t="s">
        <v>76</v>
      </c>
      <c r="J124" s="107"/>
      <c r="K124" s="116">
        <f>195152.7+2985.5+2985.5</f>
        <v>201123.7</v>
      </c>
      <c r="L124" s="107"/>
      <c r="M124" s="107"/>
      <c r="N124" s="107" t="s">
        <v>76</v>
      </c>
      <c r="O124" s="6"/>
    </row>
    <row r="125" spans="1:15" s="25" customFormat="1" ht="12.75">
      <c r="A125" s="696"/>
      <c r="B125" s="9"/>
      <c r="C125" s="697"/>
      <c r="D125" s="9" t="s">
        <v>219</v>
      </c>
      <c r="E125" s="697"/>
      <c r="F125" s="697"/>
      <c r="G125" s="697"/>
      <c r="H125" s="126">
        <f t="shared" si="5"/>
        <v>188911.8</v>
      </c>
      <c r="I125" s="107" t="s">
        <v>76</v>
      </c>
      <c r="J125" s="107"/>
      <c r="K125" s="116">
        <f>148024.8+20443.5+20443.5</f>
        <v>188911.8</v>
      </c>
      <c r="L125" s="107"/>
      <c r="M125" s="107"/>
      <c r="N125" s="107" t="s">
        <v>76</v>
      </c>
      <c r="O125" s="6"/>
    </row>
    <row r="126" spans="1:15" s="25" customFormat="1" ht="12.75">
      <c r="A126" s="692"/>
      <c r="B126" s="9"/>
      <c r="C126" s="694"/>
      <c r="D126" s="9" t="s">
        <v>196</v>
      </c>
      <c r="E126" s="694"/>
      <c r="F126" s="694"/>
      <c r="G126" s="694"/>
      <c r="H126" s="126">
        <f t="shared" si="5"/>
        <v>12136.6</v>
      </c>
      <c r="I126" s="107" t="s">
        <v>76</v>
      </c>
      <c r="J126" s="107"/>
      <c r="K126" s="116">
        <f>7593.6+2271.5+2271.5</f>
        <v>12136.6</v>
      </c>
      <c r="L126" s="107"/>
      <c r="M126" s="107"/>
      <c r="N126" s="107" t="s">
        <v>76</v>
      </c>
      <c r="O126" s="6"/>
    </row>
    <row r="127" spans="1:15" s="25" customFormat="1" ht="12.75">
      <c r="A127" s="431" t="s">
        <v>362</v>
      </c>
      <c r="B127" s="9"/>
      <c r="C127" s="9" t="s">
        <v>51</v>
      </c>
      <c r="D127" s="9" t="s">
        <v>196</v>
      </c>
      <c r="E127" s="9" t="s">
        <v>218</v>
      </c>
      <c r="F127" s="9" t="s">
        <v>361</v>
      </c>
      <c r="G127" s="9" t="s">
        <v>115</v>
      </c>
      <c r="H127" s="126">
        <f t="shared" si="5"/>
        <v>2272.2</v>
      </c>
      <c r="I127" s="107" t="s">
        <v>76</v>
      </c>
      <c r="J127" s="107"/>
      <c r="K127" s="116">
        <v>2272.2</v>
      </c>
      <c r="L127" s="107"/>
      <c r="M127" s="107"/>
      <c r="N127" s="107" t="s">
        <v>76</v>
      </c>
      <c r="O127" s="6"/>
    </row>
    <row r="128" spans="1:15" s="25" customFormat="1" ht="39.75" customHeight="1">
      <c r="A128" s="431" t="s">
        <v>363</v>
      </c>
      <c r="B128" s="9"/>
      <c r="C128" s="9" t="s">
        <v>51</v>
      </c>
      <c r="D128" s="9" t="s">
        <v>196</v>
      </c>
      <c r="E128" s="9" t="s">
        <v>218</v>
      </c>
      <c r="F128" s="9" t="s">
        <v>240</v>
      </c>
      <c r="G128" s="9" t="s">
        <v>115</v>
      </c>
      <c r="H128" s="126">
        <f t="shared" si="5"/>
        <v>2625</v>
      </c>
      <c r="I128" s="107" t="s">
        <v>76</v>
      </c>
      <c r="J128" s="107"/>
      <c r="K128" s="78">
        <v>2625</v>
      </c>
      <c r="L128" s="107"/>
      <c r="M128" s="107"/>
      <c r="N128" s="107" t="s">
        <v>76</v>
      </c>
      <c r="O128" s="6"/>
    </row>
    <row r="129" spans="1:15" s="25" customFormat="1" ht="16.5" customHeight="1">
      <c r="A129" s="22" t="s">
        <v>14</v>
      </c>
      <c r="B129" s="9"/>
      <c r="C129" s="9" t="s">
        <v>51</v>
      </c>
      <c r="D129" s="9" t="s">
        <v>228</v>
      </c>
      <c r="E129" s="9" t="s">
        <v>218</v>
      </c>
      <c r="F129" s="9" t="s">
        <v>118</v>
      </c>
      <c r="G129" s="9" t="s">
        <v>115</v>
      </c>
      <c r="H129" s="126">
        <f t="shared" si="5"/>
        <v>105000</v>
      </c>
      <c r="I129" s="107" t="s">
        <v>76</v>
      </c>
      <c r="J129" s="107"/>
      <c r="K129" s="116">
        <v>105000</v>
      </c>
      <c r="L129" s="107"/>
      <c r="M129" s="107"/>
      <c r="N129" s="107" t="s">
        <v>76</v>
      </c>
      <c r="O129" s="6"/>
    </row>
    <row r="130" spans="1:15" s="25" customFormat="1" ht="28.5" customHeight="1">
      <c r="A130" s="431" t="s">
        <v>364</v>
      </c>
      <c r="B130" s="9"/>
      <c r="C130" s="9" t="s">
        <v>51</v>
      </c>
      <c r="D130" s="9" t="s">
        <v>196</v>
      </c>
      <c r="E130" s="9" t="s">
        <v>218</v>
      </c>
      <c r="F130" s="9" t="s">
        <v>242</v>
      </c>
      <c r="G130" s="9" t="s">
        <v>115</v>
      </c>
      <c r="H130" s="126">
        <f t="shared" si="5"/>
        <v>3956.4</v>
      </c>
      <c r="I130" s="107" t="s">
        <v>76</v>
      </c>
      <c r="J130" s="107"/>
      <c r="K130" s="116">
        <v>3956.4</v>
      </c>
      <c r="L130" s="107"/>
      <c r="M130" s="107"/>
      <c r="N130" s="107" t="s">
        <v>76</v>
      </c>
      <c r="O130" s="6"/>
    </row>
    <row r="131" spans="1:15" s="25" customFormat="1" ht="12.75" hidden="1">
      <c r="A131" s="22" t="s">
        <v>359</v>
      </c>
      <c r="B131" s="9"/>
      <c r="C131" s="9" t="s">
        <v>51</v>
      </c>
      <c r="D131" s="9" t="s">
        <v>81</v>
      </c>
      <c r="E131" s="9" t="s">
        <v>218</v>
      </c>
      <c r="F131" s="9" t="s">
        <v>118</v>
      </c>
      <c r="G131" s="9" t="s">
        <v>115</v>
      </c>
      <c r="H131" s="126">
        <f t="shared" si="5"/>
        <v>0</v>
      </c>
      <c r="I131" s="107" t="s">
        <v>76</v>
      </c>
      <c r="J131" s="107"/>
      <c r="K131" s="116"/>
      <c r="L131" s="101"/>
      <c r="M131" s="101"/>
      <c r="N131" s="101" t="s">
        <v>76</v>
      </c>
      <c r="O131" s="6"/>
    </row>
    <row r="132" spans="1:15" s="25" customFormat="1" ht="12.75" hidden="1">
      <c r="A132" s="684" t="s">
        <v>221</v>
      </c>
      <c r="B132" s="9"/>
      <c r="C132" s="678" t="s">
        <v>51</v>
      </c>
      <c r="D132" s="9" t="s">
        <v>81</v>
      </c>
      <c r="E132" s="678" t="s">
        <v>218</v>
      </c>
      <c r="F132" s="678" t="s">
        <v>119</v>
      </c>
      <c r="G132" s="678" t="s">
        <v>115</v>
      </c>
      <c r="H132" s="126">
        <f t="shared" si="5"/>
        <v>0</v>
      </c>
      <c r="I132" s="107" t="s">
        <v>76</v>
      </c>
      <c r="J132" s="107"/>
      <c r="K132" s="116"/>
      <c r="L132" s="101"/>
      <c r="M132" s="101"/>
      <c r="N132" s="101" t="s">
        <v>76</v>
      </c>
      <c r="O132" s="6"/>
    </row>
    <row r="133" spans="1:15" s="25" customFormat="1" ht="12.75" hidden="1">
      <c r="A133" s="686"/>
      <c r="B133" s="9"/>
      <c r="C133" s="680"/>
      <c r="D133" s="9" t="s">
        <v>196</v>
      </c>
      <c r="E133" s="680"/>
      <c r="F133" s="680"/>
      <c r="G133" s="680"/>
      <c r="H133" s="126">
        <f t="shared" si="5"/>
        <v>0</v>
      </c>
      <c r="I133" s="107" t="s">
        <v>76</v>
      </c>
      <c r="J133" s="107"/>
      <c r="K133" s="116"/>
      <c r="L133" s="101"/>
      <c r="M133" s="101"/>
      <c r="N133" s="101" t="s">
        <v>76</v>
      </c>
      <c r="O133" s="6"/>
    </row>
    <row r="134" spans="1:15" s="25" customFormat="1" ht="15" customHeight="1">
      <c r="A134" s="681" t="s">
        <v>210</v>
      </c>
      <c r="B134" s="683"/>
      <c r="C134" s="27" t="s">
        <v>163</v>
      </c>
      <c r="D134" s="44"/>
      <c r="E134" s="3"/>
      <c r="F134" s="3"/>
      <c r="G134" s="3"/>
      <c r="H134" s="131"/>
      <c r="I134" s="117"/>
      <c r="J134" s="110"/>
      <c r="K134" s="120">
        <f>K135+K136</f>
        <v>950000</v>
      </c>
      <c r="L134" s="117"/>
      <c r="M134" s="117"/>
      <c r="N134" s="117"/>
      <c r="O134" s="6"/>
    </row>
    <row r="135" spans="1:15" s="25" customFormat="1" ht="15.75" customHeight="1">
      <c r="A135" s="22" t="s">
        <v>11</v>
      </c>
      <c r="B135" s="40"/>
      <c r="C135" s="41" t="s">
        <v>163</v>
      </c>
      <c r="D135" s="6" t="s">
        <v>162</v>
      </c>
      <c r="E135" s="9" t="s">
        <v>157</v>
      </c>
      <c r="F135" s="46">
        <v>225</v>
      </c>
      <c r="G135" s="9" t="s">
        <v>115</v>
      </c>
      <c r="H135" s="129" t="s">
        <v>76</v>
      </c>
      <c r="I135" s="107" t="s">
        <v>76</v>
      </c>
      <c r="J135" s="78"/>
      <c r="K135" s="116">
        <v>950000</v>
      </c>
      <c r="L135" s="107"/>
      <c r="M135" s="107"/>
      <c r="N135" s="107" t="s">
        <v>76</v>
      </c>
      <c r="O135" s="6"/>
    </row>
    <row r="136" spans="1:15" s="25" customFormat="1" ht="13.5" hidden="1">
      <c r="A136" s="47" t="s">
        <v>14</v>
      </c>
      <c r="B136" s="40"/>
      <c r="C136" s="41" t="s">
        <v>163</v>
      </c>
      <c r="D136" s="6" t="s">
        <v>162</v>
      </c>
      <c r="E136" s="9" t="s">
        <v>157</v>
      </c>
      <c r="F136" s="9" t="s">
        <v>118</v>
      </c>
      <c r="G136" s="9" t="s">
        <v>115</v>
      </c>
      <c r="H136" s="126"/>
      <c r="I136" s="107"/>
      <c r="J136" s="78"/>
      <c r="K136" s="116"/>
      <c r="L136" s="107"/>
      <c r="M136" s="107"/>
      <c r="N136" s="107"/>
      <c r="O136" s="6"/>
    </row>
    <row r="137" spans="1:15" s="25" customFormat="1" ht="15" customHeight="1" hidden="1">
      <c r="A137" s="681" t="s">
        <v>177</v>
      </c>
      <c r="B137" s="683"/>
      <c r="C137" s="27" t="s">
        <v>23</v>
      </c>
      <c r="D137" s="44"/>
      <c r="E137" s="3"/>
      <c r="F137" s="3"/>
      <c r="G137" s="3"/>
      <c r="H137" s="131"/>
      <c r="I137" s="117"/>
      <c r="J137" s="110"/>
      <c r="K137" s="118">
        <f>K138</f>
        <v>0</v>
      </c>
      <c r="L137" s="117"/>
      <c r="M137" s="117"/>
      <c r="N137" s="117"/>
      <c r="O137" s="6"/>
    </row>
    <row r="138" spans="1:15" s="25" customFormat="1" ht="15" customHeight="1" hidden="1">
      <c r="A138" s="22" t="s">
        <v>178</v>
      </c>
      <c r="B138" s="9"/>
      <c r="C138" s="9" t="s">
        <v>23</v>
      </c>
      <c r="D138" s="9" t="s">
        <v>81</v>
      </c>
      <c r="E138" s="9" t="s">
        <v>108</v>
      </c>
      <c r="F138" s="9" t="s">
        <v>116</v>
      </c>
      <c r="G138" s="9" t="s">
        <v>115</v>
      </c>
      <c r="H138" s="126"/>
      <c r="I138" s="107"/>
      <c r="J138" s="78"/>
      <c r="K138" s="116"/>
      <c r="L138" s="107"/>
      <c r="M138" s="107"/>
      <c r="N138" s="107"/>
      <c r="O138" s="6"/>
    </row>
    <row r="139" spans="1:15" s="25" customFormat="1" ht="29.25" customHeight="1" hidden="1">
      <c r="A139" s="681" t="s">
        <v>191</v>
      </c>
      <c r="B139" s="683"/>
      <c r="C139" s="27" t="s">
        <v>192</v>
      </c>
      <c r="D139" s="3"/>
      <c r="E139" s="3"/>
      <c r="F139" s="3"/>
      <c r="G139" s="3"/>
      <c r="H139" s="124">
        <f aca="true" t="shared" si="6" ref="H139:H147">K139</f>
        <v>0</v>
      </c>
      <c r="I139" s="119"/>
      <c r="J139" s="97"/>
      <c r="K139" s="97">
        <f>K140+K141</f>
        <v>0</v>
      </c>
      <c r="L139" s="117"/>
      <c r="M139" s="117"/>
      <c r="N139" s="117"/>
      <c r="O139" s="6"/>
    </row>
    <row r="140" spans="1:15" s="25" customFormat="1" ht="16.5" customHeight="1" hidden="1">
      <c r="A140" s="61" t="s">
        <v>195</v>
      </c>
      <c r="B140" s="67"/>
      <c r="C140" s="59" t="s">
        <v>192</v>
      </c>
      <c r="D140" s="59" t="s">
        <v>193</v>
      </c>
      <c r="E140" s="59" t="s">
        <v>108</v>
      </c>
      <c r="F140" s="59" t="s">
        <v>121</v>
      </c>
      <c r="G140" s="59" t="s">
        <v>194</v>
      </c>
      <c r="H140" s="127">
        <f t="shared" si="6"/>
        <v>0</v>
      </c>
      <c r="I140" s="101" t="s">
        <v>76</v>
      </c>
      <c r="J140" s="100"/>
      <c r="K140" s="104"/>
      <c r="L140" s="101"/>
      <c r="M140" s="101"/>
      <c r="N140" s="101" t="s">
        <v>76</v>
      </c>
      <c r="O140" s="6"/>
    </row>
    <row r="141" spans="1:15" s="25" customFormat="1" ht="16.5" customHeight="1" hidden="1">
      <c r="A141" s="61" t="s">
        <v>195</v>
      </c>
      <c r="B141" s="68"/>
      <c r="C141" s="59" t="s">
        <v>192</v>
      </c>
      <c r="D141" s="59" t="s">
        <v>196</v>
      </c>
      <c r="E141" s="59" t="s">
        <v>108</v>
      </c>
      <c r="F141" s="59" t="s">
        <v>121</v>
      </c>
      <c r="G141" s="59" t="s">
        <v>194</v>
      </c>
      <c r="H141" s="127">
        <f t="shared" si="6"/>
        <v>0</v>
      </c>
      <c r="I141" s="101" t="s">
        <v>76</v>
      </c>
      <c r="J141" s="100"/>
      <c r="K141" s="104"/>
      <c r="L141" s="101"/>
      <c r="M141" s="101"/>
      <c r="N141" s="101" t="s">
        <v>76</v>
      </c>
      <c r="O141" s="6"/>
    </row>
    <row r="142" spans="1:15" s="25" customFormat="1" ht="16.5" customHeight="1">
      <c r="A142" s="39" t="s">
        <v>222</v>
      </c>
      <c r="B142" s="38"/>
      <c r="C142" s="27" t="s">
        <v>203</v>
      </c>
      <c r="D142" s="3"/>
      <c r="E142" s="3"/>
      <c r="F142" s="3"/>
      <c r="G142" s="3"/>
      <c r="H142" s="124">
        <f t="shared" si="6"/>
        <v>392236</v>
      </c>
      <c r="I142" s="117" t="s">
        <v>76</v>
      </c>
      <c r="J142" s="110"/>
      <c r="K142" s="120">
        <f>K143</f>
        <v>392236</v>
      </c>
      <c r="L142" s="117"/>
      <c r="M142" s="117"/>
      <c r="N142" s="117" t="s">
        <v>76</v>
      </c>
      <c r="O142" s="6"/>
    </row>
    <row r="143" spans="1:15" s="25" customFormat="1" ht="15.75" customHeight="1">
      <c r="A143" s="22" t="s">
        <v>236</v>
      </c>
      <c r="B143" s="40"/>
      <c r="C143" s="9" t="s">
        <v>203</v>
      </c>
      <c r="D143" s="9" t="s">
        <v>81</v>
      </c>
      <c r="E143" s="9" t="s">
        <v>108</v>
      </c>
      <c r="F143" s="9" t="s">
        <v>205</v>
      </c>
      <c r="G143" s="9" t="s">
        <v>123</v>
      </c>
      <c r="H143" s="126">
        <f t="shared" si="6"/>
        <v>392236</v>
      </c>
      <c r="I143" s="107" t="s">
        <v>76</v>
      </c>
      <c r="J143" s="78"/>
      <c r="K143" s="121">
        <f>10000+382236</f>
        <v>392236</v>
      </c>
      <c r="L143" s="107"/>
      <c r="M143" s="107"/>
      <c r="N143" s="107" t="s">
        <v>76</v>
      </c>
      <c r="O143" s="6"/>
    </row>
    <row r="144" spans="1:15" s="25" customFormat="1" ht="12.75">
      <c r="A144" s="75" t="s">
        <v>226</v>
      </c>
      <c r="B144" s="58"/>
      <c r="C144" s="42" t="s">
        <v>23</v>
      </c>
      <c r="D144" s="42"/>
      <c r="E144" s="42"/>
      <c r="F144" s="42"/>
      <c r="G144" s="42"/>
      <c r="H144" s="125">
        <f t="shared" si="6"/>
        <v>90100</v>
      </c>
      <c r="I144" s="119"/>
      <c r="J144" s="98"/>
      <c r="K144" s="97">
        <f>K145</f>
        <v>90100</v>
      </c>
      <c r="L144" s="119"/>
      <c r="M144" s="119"/>
      <c r="N144" s="119"/>
      <c r="O144" s="6"/>
    </row>
    <row r="145" spans="1:15" s="25" customFormat="1" ht="12.75">
      <c r="A145" s="76" t="s">
        <v>227</v>
      </c>
      <c r="B145" s="57"/>
      <c r="C145" s="9" t="s">
        <v>23</v>
      </c>
      <c r="D145" s="9" t="s">
        <v>228</v>
      </c>
      <c r="E145" s="9" t="s">
        <v>157</v>
      </c>
      <c r="F145" s="9" t="s">
        <v>116</v>
      </c>
      <c r="G145" s="9" t="s">
        <v>115</v>
      </c>
      <c r="H145" s="129">
        <f t="shared" si="6"/>
        <v>90100</v>
      </c>
      <c r="I145" s="107"/>
      <c r="J145" s="26"/>
      <c r="K145" s="78">
        <v>90100</v>
      </c>
      <c r="L145" s="107"/>
      <c r="M145" s="107"/>
      <c r="N145" s="107"/>
      <c r="O145" s="6"/>
    </row>
    <row r="146" spans="1:15" s="25" customFormat="1" ht="12.75" hidden="1">
      <c r="A146" s="77" t="s">
        <v>231</v>
      </c>
      <c r="B146" s="58"/>
      <c r="C146" s="87" t="s">
        <v>230</v>
      </c>
      <c r="D146" s="53"/>
      <c r="E146" s="53"/>
      <c r="F146" s="53"/>
      <c r="G146" s="53"/>
      <c r="H146" s="124">
        <f t="shared" si="6"/>
        <v>0</v>
      </c>
      <c r="I146" s="119"/>
      <c r="J146" s="97"/>
      <c r="K146" s="98">
        <f>K147</f>
        <v>0</v>
      </c>
      <c r="L146" s="119"/>
      <c r="M146" s="119"/>
      <c r="N146" s="119"/>
      <c r="O146" s="6"/>
    </row>
    <row r="147" spans="1:15" s="25" customFormat="1" ht="12.75" hidden="1">
      <c r="A147" s="22" t="s">
        <v>227</v>
      </c>
      <c r="B147" s="57"/>
      <c r="C147" s="9" t="s">
        <v>230</v>
      </c>
      <c r="D147" s="9" t="s">
        <v>81</v>
      </c>
      <c r="E147" s="9" t="s">
        <v>232</v>
      </c>
      <c r="F147" s="9" t="s">
        <v>116</v>
      </c>
      <c r="G147" s="9" t="s">
        <v>115</v>
      </c>
      <c r="H147" s="126">
        <f t="shared" si="6"/>
        <v>0</v>
      </c>
      <c r="I147" s="107"/>
      <c r="J147" s="78"/>
      <c r="K147" s="26"/>
      <c r="L147" s="107"/>
      <c r="M147" s="107"/>
      <c r="N147" s="107"/>
      <c r="O147" s="6"/>
    </row>
    <row r="148" spans="1:15" s="25" customFormat="1" ht="29.25" customHeight="1">
      <c r="A148" s="681" t="s">
        <v>224</v>
      </c>
      <c r="B148" s="682"/>
      <c r="C148" s="27" t="s">
        <v>80</v>
      </c>
      <c r="D148" s="3"/>
      <c r="E148" s="3"/>
      <c r="F148" s="3"/>
      <c r="G148" s="3"/>
      <c r="H148" s="124">
        <f aca="true" t="shared" si="7" ref="H148:H159">N148</f>
        <v>92618.84000000001</v>
      </c>
      <c r="I148" s="119"/>
      <c r="J148" s="119"/>
      <c r="K148" s="119"/>
      <c r="L148" s="119"/>
      <c r="M148" s="119"/>
      <c r="N148" s="97">
        <f>SUM(N149:N159)</f>
        <v>92618.84000000001</v>
      </c>
      <c r="O148" s="6"/>
    </row>
    <row r="149" spans="1:15" s="25" customFormat="1" ht="13.5" customHeight="1" hidden="1">
      <c r="A149" s="45" t="s">
        <v>8</v>
      </c>
      <c r="B149" s="8"/>
      <c r="C149" s="9" t="s">
        <v>80</v>
      </c>
      <c r="D149" s="9" t="s">
        <v>81</v>
      </c>
      <c r="E149" s="9" t="s">
        <v>108</v>
      </c>
      <c r="F149" s="9" t="s">
        <v>128</v>
      </c>
      <c r="G149" s="9" t="s">
        <v>115</v>
      </c>
      <c r="H149" s="126">
        <f t="shared" si="7"/>
        <v>0</v>
      </c>
      <c r="I149" s="107" t="s">
        <v>76</v>
      </c>
      <c r="J149" s="107" t="s">
        <v>76</v>
      </c>
      <c r="K149" s="107" t="s">
        <v>76</v>
      </c>
      <c r="L149" s="107" t="s">
        <v>76</v>
      </c>
      <c r="M149" s="107"/>
      <c r="N149" s="122"/>
      <c r="O149" s="6"/>
    </row>
    <row r="150" spans="1:15" s="25" customFormat="1" ht="13.5" customHeight="1" hidden="1">
      <c r="A150" s="22" t="s">
        <v>11</v>
      </c>
      <c r="B150" s="9"/>
      <c r="C150" s="9" t="s">
        <v>80</v>
      </c>
      <c r="D150" s="9" t="s">
        <v>81</v>
      </c>
      <c r="E150" s="9" t="s">
        <v>108</v>
      </c>
      <c r="F150" s="9" t="s">
        <v>121</v>
      </c>
      <c r="G150" s="9" t="s">
        <v>115</v>
      </c>
      <c r="H150" s="126">
        <f t="shared" si="7"/>
        <v>0</v>
      </c>
      <c r="I150" s="107" t="s">
        <v>76</v>
      </c>
      <c r="J150" s="107" t="s">
        <v>76</v>
      </c>
      <c r="K150" s="107" t="s">
        <v>76</v>
      </c>
      <c r="L150" s="107" t="s">
        <v>76</v>
      </c>
      <c r="M150" s="107"/>
      <c r="N150" s="122"/>
      <c r="O150" s="6"/>
    </row>
    <row r="151" spans="1:15" s="25" customFormat="1" ht="13.5" customHeight="1">
      <c r="A151" s="22" t="s">
        <v>11</v>
      </c>
      <c r="B151" s="9"/>
      <c r="C151" s="9" t="s">
        <v>80</v>
      </c>
      <c r="D151" s="9" t="s">
        <v>81</v>
      </c>
      <c r="E151" s="9" t="s">
        <v>218</v>
      </c>
      <c r="F151" s="9" t="s">
        <v>121</v>
      </c>
      <c r="G151" s="9" t="s">
        <v>115</v>
      </c>
      <c r="H151" s="126">
        <f t="shared" si="7"/>
        <v>2815.2</v>
      </c>
      <c r="I151" s="107" t="s">
        <v>76</v>
      </c>
      <c r="J151" s="107" t="s">
        <v>76</v>
      </c>
      <c r="K151" s="107" t="s">
        <v>76</v>
      </c>
      <c r="L151" s="107" t="s">
        <v>76</v>
      </c>
      <c r="M151" s="107" t="s">
        <v>76</v>
      </c>
      <c r="N151" s="78">
        <v>2815.2</v>
      </c>
      <c r="O151" s="6"/>
    </row>
    <row r="152" spans="1:15" s="25" customFormat="1" ht="13.5" customHeight="1">
      <c r="A152" s="22" t="s">
        <v>12</v>
      </c>
      <c r="B152" s="9"/>
      <c r="C152" s="9" t="s">
        <v>80</v>
      </c>
      <c r="D152" s="9" t="s">
        <v>81</v>
      </c>
      <c r="E152" s="9" t="s">
        <v>218</v>
      </c>
      <c r="F152" s="9" t="s">
        <v>116</v>
      </c>
      <c r="G152" s="9" t="s">
        <v>115</v>
      </c>
      <c r="H152" s="126">
        <f t="shared" si="7"/>
        <v>13427.57</v>
      </c>
      <c r="I152" s="107" t="s">
        <v>76</v>
      </c>
      <c r="J152" s="107"/>
      <c r="K152" s="107" t="s">
        <v>76</v>
      </c>
      <c r="L152" s="107" t="s">
        <v>76</v>
      </c>
      <c r="M152" s="107"/>
      <c r="N152" s="433">
        <v>13427.57</v>
      </c>
      <c r="O152" s="6"/>
    </row>
    <row r="153" spans="1:15" s="25" customFormat="1" ht="13.5" customHeight="1">
      <c r="A153" s="22" t="s">
        <v>362</v>
      </c>
      <c r="B153" s="9"/>
      <c r="C153" s="9" t="s">
        <v>80</v>
      </c>
      <c r="D153" s="9" t="s">
        <v>81</v>
      </c>
      <c r="E153" s="9" t="s">
        <v>218</v>
      </c>
      <c r="F153" s="9" t="s">
        <v>361</v>
      </c>
      <c r="G153" s="9" t="s">
        <v>115</v>
      </c>
      <c r="H153" s="126">
        <f t="shared" si="7"/>
        <v>3408.3</v>
      </c>
      <c r="I153" s="107"/>
      <c r="J153" s="107"/>
      <c r="K153" s="107"/>
      <c r="L153" s="107"/>
      <c r="M153" s="107"/>
      <c r="N153" s="433">
        <v>3408.3</v>
      </c>
      <c r="O153" s="6"/>
    </row>
    <row r="154" spans="1:15" s="25" customFormat="1" ht="13.5" customHeight="1">
      <c r="A154" s="22" t="s">
        <v>12</v>
      </c>
      <c r="B154" s="9"/>
      <c r="C154" s="9" t="s">
        <v>80</v>
      </c>
      <c r="D154" s="9" t="s">
        <v>81</v>
      </c>
      <c r="E154" s="9" t="s">
        <v>108</v>
      </c>
      <c r="F154" s="9" t="s">
        <v>116</v>
      </c>
      <c r="G154" s="9" t="s">
        <v>115</v>
      </c>
      <c r="H154" s="126">
        <f t="shared" si="7"/>
        <v>20614.72</v>
      </c>
      <c r="I154" s="107" t="s">
        <v>76</v>
      </c>
      <c r="J154" s="107" t="s">
        <v>76</v>
      </c>
      <c r="K154" s="107" t="s">
        <v>76</v>
      </c>
      <c r="L154" s="107" t="s">
        <v>76</v>
      </c>
      <c r="M154" s="107" t="s">
        <v>76</v>
      </c>
      <c r="N154" s="78">
        <f>30000-9385.28</f>
        <v>20614.72</v>
      </c>
      <c r="O154" s="6"/>
    </row>
    <row r="155" spans="1:15" s="25" customFormat="1" ht="13.5" customHeight="1">
      <c r="A155" s="22" t="s">
        <v>14</v>
      </c>
      <c r="B155" s="9"/>
      <c r="C155" s="9" t="s">
        <v>80</v>
      </c>
      <c r="D155" s="9" t="s">
        <v>81</v>
      </c>
      <c r="E155" s="9" t="s">
        <v>108</v>
      </c>
      <c r="F155" s="9" t="s">
        <v>118</v>
      </c>
      <c r="G155" s="9" t="s">
        <v>115</v>
      </c>
      <c r="H155" s="126">
        <f t="shared" si="7"/>
        <v>35000</v>
      </c>
      <c r="I155" s="107" t="s">
        <v>76</v>
      </c>
      <c r="J155" s="107" t="s">
        <v>76</v>
      </c>
      <c r="K155" s="107" t="s">
        <v>76</v>
      </c>
      <c r="L155" s="107" t="s">
        <v>76</v>
      </c>
      <c r="M155" s="107"/>
      <c r="N155" s="122">
        <v>35000</v>
      </c>
      <c r="O155" s="6"/>
    </row>
    <row r="156" spans="1:15" s="25" customFormat="1" ht="13.5" customHeight="1">
      <c r="A156" s="22" t="s">
        <v>463</v>
      </c>
      <c r="B156" s="9"/>
      <c r="C156" s="9" t="s">
        <v>80</v>
      </c>
      <c r="D156" s="9" t="s">
        <v>81</v>
      </c>
      <c r="E156" s="9" t="s">
        <v>108</v>
      </c>
      <c r="F156" s="9" t="s">
        <v>118</v>
      </c>
      <c r="G156" s="9" t="s">
        <v>115</v>
      </c>
      <c r="H156" s="126">
        <f t="shared" si="7"/>
        <v>2504.12</v>
      </c>
      <c r="I156" s="107" t="s">
        <v>76</v>
      </c>
      <c r="J156" s="107" t="s">
        <v>76</v>
      </c>
      <c r="K156" s="107" t="s">
        <v>76</v>
      </c>
      <c r="L156" s="107"/>
      <c r="M156" s="107"/>
      <c r="N156" s="122">
        <v>2504.12</v>
      </c>
      <c r="O156" s="6"/>
    </row>
    <row r="157" spans="1:15" s="25" customFormat="1" ht="39" customHeight="1">
      <c r="A157" s="22" t="s">
        <v>363</v>
      </c>
      <c r="B157" s="9"/>
      <c r="C157" s="9" t="s">
        <v>80</v>
      </c>
      <c r="D157" s="9" t="s">
        <v>81</v>
      </c>
      <c r="E157" s="9" t="s">
        <v>218</v>
      </c>
      <c r="F157" s="9" t="s">
        <v>240</v>
      </c>
      <c r="G157" s="9" t="s">
        <v>115</v>
      </c>
      <c r="H157" s="126">
        <f t="shared" si="7"/>
        <v>3937.5</v>
      </c>
      <c r="I157" s="107" t="s">
        <v>76</v>
      </c>
      <c r="J157" s="107"/>
      <c r="K157" s="107" t="s">
        <v>76</v>
      </c>
      <c r="L157" s="107" t="s">
        <v>76</v>
      </c>
      <c r="M157" s="107"/>
      <c r="N157" s="99">
        <v>3937.5</v>
      </c>
      <c r="O157" s="6"/>
    </row>
    <row r="158" spans="1:15" s="25" customFormat="1" ht="30.75" customHeight="1">
      <c r="A158" s="431" t="s">
        <v>364</v>
      </c>
      <c r="B158" s="20"/>
      <c r="C158" s="9" t="s">
        <v>80</v>
      </c>
      <c r="D158" s="9" t="s">
        <v>81</v>
      </c>
      <c r="E158" s="9" t="s">
        <v>218</v>
      </c>
      <c r="F158" s="9" t="s">
        <v>242</v>
      </c>
      <c r="G158" s="9" t="s">
        <v>115</v>
      </c>
      <c r="H158" s="126">
        <f t="shared" si="7"/>
        <v>7087.63</v>
      </c>
      <c r="I158" s="107" t="s">
        <v>76</v>
      </c>
      <c r="J158" s="108"/>
      <c r="K158" s="107" t="s">
        <v>76</v>
      </c>
      <c r="L158" s="108"/>
      <c r="M158" s="108"/>
      <c r="N158" s="78">
        <v>7087.63</v>
      </c>
      <c r="O158" s="6"/>
    </row>
    <row r="159" spans="1:15" s="25" customFormat="1" ht="30.75" customHeight="1">
      <c r="A159" s="431" t="s">
        <v>243</v>
      </c>
      <c r="B159" s="20"/>
      <c r="C159" s="9" t="s">
        <v>80</v>
      </c>
      <c r="D159" s="9" t="s">
        <v>81</v>
      </c>
      <c r="E159" s="9" t="s">
        <v>218</v>
      </c>
      <c r="F159" s="9" t="s">
        <v>244</v>
      </c>
      <c r="G159" s="9" t="s">
        <v>115</v>
      </c>
      <c r="H159" s="126">
        <f t="shared" si="7"/>
        <v>3823.8</v>
      </c>
      <c r="I159" s="107"/>
      <c r="J159" s="108"/>
      <c r="K159" s="107"/>
      <c r="L159" s="108"/>
      <c r="M159" s="108"/>
      <c r="N159" s="78">
        <v>3823.8</v>
      </c>
      <c r="O159" s="6"/>
    </row>
    <row r="160" spans="1:15" s="25" customFormat="1" ht="27">
      <c r="A160" s="96" t="s">
        <v>129</v>
      </c>
      <c r="B160" s="32" t="s">
        <v>130</v>
      </c>
      <c r="C160" s="33" t="s">
        <v>76</v>
      </c>
      <c r="D160" s="33" t="s">
        <v>76</v>
      </c>
      <c r="E160" s="33" t="s">
        <v>76</v>
      </c>
      <c r="F160" s="33" t="s">
        <v>76</v>
      </c>
      <c r="G160" s="33" t="s">
        <v>76</v>
      </c>
      <c r="H160" s="130">
        <f>I160+N160+K160</f>
        <v>17240370.279999997</v>
      </c>
      <c r="I160" s="130">
        <f>I58+I62+I92+I93+I60+I75+I61+I59</f>
        <v>16848134.279999997</v>
      </c>
      <c r="J160" s="130"/>
      <c r="K160" s="130">
        <f>K143</f>
        <v>392236</v>
      </c>
      <c r="L160" s="134" t="s">
        <v>76</v>
      </c>
      <c r="M160" s="134" t="s">
        <v>76</v>
      </c>
      <c r="N160" s="130"/>
      <c r="O160" s="6" t="s">
        <v>76</v>
      </c>
    </row>
    <row r="161" spans="1:15" s="25" customFormat="1" ht="27">
      <c r="A161" s="96" t="s">
        <v>131</v>
      </c>
      <c r="B161" s="32" t="s">
        <v>132</v>
      </c>
      <c r="C161" s="33" t="s">
        <v>76</v>
      </c>
      <c r="D161" s="33" t="s">
        <v>76</v>
      </c>
      <c r="E161" s="33" t="s">
        <v>76</v>
      </c>
      <c r="F161" s="33" t="s">
        <v>76</v>
      </c>
      <c r="G161" s="33" t="s">
        <v>76</v>
      </c>
      <c r="H161" s="130">
        <f>H163+H162</f>
        <v>7682602.260000001</v>
      </c>
      <c r="I161" s="130">
        <f>I163+I162</f>
        <v>5037908.720000001</v>
      </c>
      <c r="J161" s="130">
        <f>J163+J162</f>
        <v>0</v>
      </c>
      <c r="K161" s="130">
        <f>K163+K162</f>
        <v>2552074.7</v>
      </c>
      <c r="L161" s="134"/>
      <c r="M161" s="134"/>
      <c r="N161" s="130">
        <f>N163+N162</f>
        <v>92618.84</v>
      </c>
      <c r="O161" s="6"/>
    </row>
    <row r="162" spans="1:15" s="25" customFormat="1" ht="24" customHeight="1">
      <c r="A162" s="96" t="s">
        <v>133</v>
      </c>
      <c r="B162" s="32" t="s">
        <v>134</v>
      </c>
      <c r="C162" s="33" t="s">
        <v>76</v>
      </c>
      <c r="D162" s="33" t="s">
        <v>76</v>
      </c>
      <c r="E162" s="33" t="s">
        <v>76</v>
      </c>
      <c r="F162" s="33" t="s">
        <v>76</v>
      </c>
      <c r="G162" s="33" t="s">
        <v>76</v>
      </c>
      <c r="H162" s="130">
        <f>I162+N162+K162</f>
        <v>0</v>
      </c>
      <c r="I162" s="130"/>
      <c r="J162" s="130"/>
      <c r="K162" s="130">
        <v>0</v>
      </c>
      <c r="L162" s="134"/>
      <c r="M162" s="134"/>
      <c r="N162" s="130">
        <v>0</v>
      </c>
      <c r="O162" s="6"/>
    </row>
    <row r="163" spans="1:15" s="25" customFormat="1" ht="12.75" customHeight="1">
      <c r="A163" s="96" t="s">
        <v>135</v>
      </c>
      <c r="B163" s="32" t="s">
        <v>136</v>
      </c>
      <c r="C163" s="33" t="s">
        <v>76</v>
      </c>
      <c r="D163" s="33" t="s">
        <v>76</v>
      </c>
      <c r="E163" s="33" t="s">
        <v>76</v>
      </c>
      <c r="F163" s="33" t="s">
        <v>76</v>
      </c>
      <c r="G163" s="33" t="s">
        <v>76</v>
      </c>
      <c r="H163" s="130">
        <f>I163+N163+K163</f>
        <v>7682602.260000001</v>
      </c>
      <c r="I163" s="130">
        <f>I64+I69+I70+I71+I72+I77+I83+I84+I86+I88+I89+I90+I91+I102+I97+I98+I78+I79+I81+I82+I99+I87+I74+I80+I94+I76</f>
        <v>5037908.720000001</v>
      </c>
      <c r="J163" s="130"/>
      <c r="K163" s="130">
        <f>K106+K110+K140+K141+K124+K125+K126+K133+K135+K118+K119+K120+K121+K117+K145+K147+K132+K127+K128+K130+K112+K113++K114+K115+K129</f>
        <v>2552074.7</v>
      </c>
      <c r="L163" s="134" t="s">
        <v>76</v>
      </c>
      <c r="M163" s="134" t="s">
        <v>76</v>
      </c>
      <c r="N163" s="130">
        <f>N149+N150+N152+N155+N157+N151+N154+N158+N153+N159+N156</f>
        <v>92618.84</v>
      </c>
      <c r="O163" s="6" t="s">
        <v>76</v>
      </c>
    </row>
    <row r="164" spans="1:15" s="25" customFormat="1" ht="13.5" hidden="1">
      <c r="A164" s="8" t="s">
        <v>137</v>
      </c>
      <c r="B164" s="9" t="s">
        <v>138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f>I164+N164</f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5" spans="1:15" s="25" customFormat="1" ht="13.5" hidden="1">
      <c r="A165" s="20" t="s">
        <v>139</v>
      </c>
      <c r="B165" s="9" t="s">
        <v>118</v>
      </c>
      <c r="C165" s="34" t="s">
        <v>76</v>
      </c>
      <c r="D165" s="34" t="s">
        <v>76</v>
      </c>
      <c r="E165" s="34" t="s">
        <v>76</v>
      </c>
      <c r="F165" s="34" t="s">
        <v>76</v>
      </c>
      <c r="G165" s="34" t="s">
        <v>76</v>
      </c>
      <c r="H165" s="126">
        <v>0</v>
      </c>
      <c r="I165" s="126">
        <v>0</v>
      </c>
      <c r="J165" s="126"/>
      <c r="K165" s="126"/>
      <c r="L165" s="135" t="s">
        <v>76</v>
      </c>
      <c r="M165" s="135" t="s">
        <v>76</v>
      </c>
      <c r="N165" s="126">
        <v>0</v>
      </c>
      <c r="O165" s="6" t="s">
        <v>76</v>
      </c>
    </row>
    <row r="166" spans="1:15" s="25" customFormat="1" ht="13.5" hidden="1">
      <c r="A166" s="20" t="s">
        <v>140</v>
      </c>
      <c r="B166" s="9" t="s">
        <v>141</v>
      </c>
      <c r="C166" s="34" t="s">
        <v>76</v>
      </c>
      <c r="D166" s="34" t="s">
        <v>76</v>
      </c>
      <c r="E166" s="34" t="s">
        <v>76</v>
      </c>
      <c r="F166" s="34" t="s">
        <v>76</v>
      </c>
      <c r="G166" s="34" t="s">
        <v>76</v>
      </c>
      <c r="H166" s="126">
        <v>0</v>
      </c>
      <c r="I166" s="126">
        <v>0</v>
      </c>
      <c r="J166" s="126"/>
      <c r="K166" s="126"/>
      <c r="L166" s="135" t="s">
        <v>76</v>
      </c>
      <c r="M166" s="135" t="s">
        <v>76</v>
      </c>
      <c r="N166" s="126">
        <v>0</v>
      </c>
      <c r="O166" s="6" t="s">
        <v>76</v>
      </c>
    </row>
    <row r="167" spans="1:15" s="25" customFormat="1" ht="13.5" hidden="1">
      <c r="A167" s="20" t="s">
        <v>142</v>
      </c>
      <c r="B167" s="9" t="s">
        <v>143</v>
      </c>
      <c r="C167" s="34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126">
        <v>0</v>
      </c>
      <c r="I167" s="126">
        <v>0</v>
      </c>
      <c r="J167" s="126"/>
      <c r="K167" s="126"/>
      <c r="L167" s="135" t="s">
        <v>76</v>
      </c>
      <c r="M167" s="135" t="s">
        <v>76</v>
      </c>
      <c r="N167" s="126">
        <v>0</v>
      </c>
      <c r="O167" s="6" t="s">
        <v>76</v>
      </c>
    </row>
    <row r="168" spans="1:15" s="25" customFormat="1" ht="13.5" hidden="1">
      <c r="A168" s="20" t="s">
        <v>144</v>
      </c>
      <c r="B168" s="9" t="s">
        <v>145</v>
      </c>
      <c r="C168" s="34" t="s">
        <v>76</v>
      </c>
      <c r="D168" s="34" t="s">
        <v>76</v>
      </c>
      <c r="E168" s="34" t="s">
        <v>76</v>
      </c>
      <c r="F168" s="34" t="s">
        <v>76</v>
      </c>
      <c r="G168" s="34" t="s">
        <v>76</v>
      </c>
      <c r="H168" s="126">
        <v>0</v>
      </c>
      <c r="I168" s="126">
        <v>0</v>
      </c>
      <c r="J168" s="126"/>
      <c r="K168" s="126"/>
      <c r="L168" s="135" t="s">
        <v>76</v>
      </c>
      <c r="M168" s="135" t="s">
        <v>76</v>
      </c>
      <c r="N168" s="126">
        <v>0</v>
      </c>
      <c r="O168" s="6" t="s">
        <v>76</v>
      </c>
    </row>
    <row r="169" spans="1:15" s="25" customFormat="1" ht="13.5" hidden="1">
      <c r="A169" s="20" t="s">
        <v>146</v>
      </c>
      <c r="B169" s="9" t="s">
        <v>147</v>
      </c>
      <c r="C169" s="34" t="s">
        <v>76</v>
      </c>
      <c r="D169" s="34" t="s">
        <v>76</v>
      </c>
      <c r="E169" s="34" t="s">
        <v>76</v>
      </c>
      <c r="F169" s="34" t="s">
        <v>76</v>
      </c>
      <c r="G169" s="34" t="s">
        <v>76</v>
      </c>
      <c r="H169" s="126">
        <v>0</v>
      </c>
      <c r="I169" s="126">
        <v>0</v>
      </c>
      <c r="J169" s="126"/>
      <c r="K169" s="126"/>
      <c r="L169" s="135" t="s">
        <v>76</v>
      </c>
      <c r="M169" s="135" t="s">
        <v>76</v>
      </c>
      <c r="N169" s="126">
        <v>0</v>
      </c>
      <c r="O169" s="6" t="s">
        <v>76</v>
      </c>
    </row>
    <row r="170" spans="1:15" s="25" customFormat="1" ht="13.5">
      <c r="A170" s="48" t="s">
        <v>137</v>
      </c>
      <c r="B170" s="49" t="s">
        <v>138</v>
      </c>
      <c r="C170" s="50" t="s">
        <v>173</v>
      </c>
      <c r="D170" s="49" t="s">
        <v>81</v>
      </c>
      <c r="E170" s="50" t="s">
        <v>174</v>
      </c>
      <c r="F170" s="50" t="s">
        <v>174</v>
      </c>
      <c r="G170" s="50" t="s">
        <v>175</v>
      </c>
      <c r="H170" s="132">
        <v>28653.9</v>
      </c>
      <c r="I170" s="136"/>
      <c r="J170" s="136"/>
      <c r="K170" s="136"/>
      <c r="L170" s="137"/>
      <c r="M170" s="137"/>
      <c r="N170" s="136"/>
      <c r="O170" s="6"/>
    </row>
    <row r="171" spans="1:15" s="25" customFormat="1" ht="13.5">
      <c r="A171" s="51" t="s">
        <v>142</v>
      </c>
      <c r="B171" s="49" t="s">
        <v>143</v>
      </c>
      <c r="C171" s="50" t="s">
        <v>173</v>
      </c>
      <c r="D171" s="49" t="s">
        <v>81</v>
      </c>
      <c r="E171" s="50" t="s">
        <v>174</v>
      </c>
      <c r="F171" s="50" t="s">
        <v>174</v>
      </c>
      <c r="G171" s="50" t="s">
        <v>176</v>
      </c>
      <c r="H171" s="132">
        <v>28653.9</v>
      </c>
      <c r="I171" s="136"/>
      <c r="J171" s="136"/>
      <c r="K171" s="136"/>
      <c r="L171" s="137"/>
      <c r="M171" s="137"/>
      <c r="N171" s="136"/>
      <c r="O171" s="6"/>
    </row>
    <row r="172" spans="1:15" s="25" customFormat="1" ht="13.5">
      <c r="A172" s="35" t="s">
        <v>148</v>
      </c>
      <c r="B172" s="36" t="s">
        <v>149</v>
      </c>
      <c r="C172" s="37" t="s">
        <v>76</v>
      </c>
      <c r="D172" s="37" t="s">
        <v>76</v>
      </c>
      <c r="E172" s="37" t="s">
        <v>76</v>
      </c>
      <c r="F172" s="37" t="s">
        <v>76</v>
      </c>
      <c r="G172" s="37" t="s">
        <v>76</v>
      </c>
      <c r="H172" s="133">
        <f>I172+K172+N172</f>
        <v>0</v>
      </c>
      <c r="I172" s="133">
        <v>0</v>
      </c>
      <c r="J172" s="133"/>
      <c r="K172" s="133"/>
      <c r="L172" s="138" t="s">
        <v>76</v>
      </c>
      <c r="M172" s="138" t="s">
        <v>76</v>
      </c>
      <c r="N172" s="133"/>
      <c r="O172" s="6" t="s">
        <v>76</v>
      </c>
    </row>
    <row r="173" spans="1:15" s="25" customFormat="1" ht="13.5">
      <c r="A173" s="20" t="s">
        <v>150</v>
      </c>
      <c r="B173" s="9" t="s">
        <v>151</v>
      </c>
      <c r="C173" s="34" t="s">
        <v>76</v>
      </c>
      <c r="D173" s="34" t="s">
        <v>76</v>
      </c>
      <c r="E173" s="34" t="s">
        <v>76</v>
      </c>
      <c r="F173" s="34" t="s">
        <v>76</v>
      </c>
      <c r="G173" s="34" t="s">
        <v>76</v>
      </c>
      <c r="H173" s="126">
        <v>0</v>
      </c>
      <c r="I173" s="126">
        <v>0</v>
      </c>
      <c r="J173" s="126"/>
      <c r="K173" s="126"/>
      <c r="L173" s="135" t="s">
        <v>76</v>
      </c>
      <c r="M173" s="135" t="s">
        <v>76</v>
      </c>
      <c r="N173" s="126">
        <v>0</v>
      </c>
      <c r="O173" s="6" t="s">
        <v>76</v>
      </c>
    </row>
    <row r="175" ht="12.75">
      <c r="A175" s="88" t="s">
        <v>271</v>
      </c>
    </row>
    <row r="176" ht="12.75">
      <c r="A176" s="88"/>
    </row>
    <row r="177" ht="19.5" customHeight="1">
      <c r="A177" s="88" t="s">
        <v>17</v>
      </c>
    </row>
    <row r="178" ht="12.75">
      <c r="A178" s="88" t="s">
        <v>272</v>
      </c>
    </row>
    <row r="179" ht="12.75">
      <c r="A179" s="88"/>
    </row>
    <row r="180" ht="13.5" customHeight="1">
      <c r="A180" s="89"/>
    </row>
    <row r="181" ht="13.5" customHeight="1">
      <c r="A181" s="89"/>
    </row>
    <row r="182" ht="12.75" customHeight="1">
      <c r="A182" s="89"/>
    </row>
    <row r="183" ht="12.75" customHeight="1">
      <c r="A183" s="89"/>
    </row>
    <row r="184" ht="12.75" customHeight="1">
      <c r="A184" s="89"/>
    </row>
    <row r="185" ht="12.75" customHeight="1">
      <c r="A185" s="89"/>
    </row>
    <row r="186" ht="12.75" customHeight="1">
      <c r="A186" s="89"/>
    </row>
    <row r="187" ht="12.75" customHeight="1">
      <c r="A187" s="89"/>
    </row>
    <row r="188" ht="12.75" customHeight="1">
      <c r="A188" s="89"/>
    </row>
  </sheetData>
  <sheetProtection/>
  <mergeCells count="80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H4:O4"/>
    <mergeCell ref="H5:H6"/>
    <mergeCell ref="I5:O5"/>
    <mergeCell ref="N6:O6"/>
    <mergeCell ref="B10:B15"/>
    <mergeCell ref="C11:C13"/>
    <mergeCell ref="E11:E13"/>
    <mergeCell ref="F11:F13"/>
    <mergeCell ref="B16:B23"/>
    <mergeCell ref="J16:J17"/>
    <mergeCell ref="A17:A18"/>
    <mergeCell ref="C17:C18"/>
    <mergeCell ref="E17:E18"/>
    <mergeCell ref="F17:F18"/>
    <mergeCell ref="G17:G18"/>
    <mergeCell ref="A19:A23"/>
    <mergeCell ref="C19:C23"/>
    <mergeCell ref="F19:F23"/>
    <mergeCell ref="A30:A36"/>
    <mergeCell ref="C30:C31"/>
    <mergeCell ref="D30:D31"/>
    <mergeCell ref="F32:F36"/>
    <mergeCell ref="A37:A40"/>
    <mergeCell ref="C37:C40"/>
    <mergeCell ref="A41:A44"/>
    <mergeCell ref="C41:C44"/>
    <mergeCell ref="F42:F44"/>
    <mergeCell ref="A47:A48"/>
    <mergeCell ref="C47:C48"/>
    <mergeCell ref="F47:F48"/>
    <mergeCell ref="A57:B57"/>
    <mergeCell ref="C60:C61"/>
    <mergeCell ref="F60:F61"/>
    <mergeCell ref="G60:G61"/>
    <mergeCell ref="A64:A69"/>
    <mergeCell ref="C64:C69"/>
    <mergeCell ref="F64:F69"/>
    <mergeCell ref="A71:A72"/>
    <mergeCell ref="C71:C72"/>
    <mergeCell ref="E71:E72"/>
    <mergeCell ref="F71:F72"/>
    <mergeCell ref="G71:G72"/>
    <mergeCell ref="E77:E78"/>
    <mergeCell ref="A83:A84"/>
    <mergeCell ref="C83:C84"/>
    <mergeCell ref="E83:E84"/>
    <mergeCell ref="F83:F84"/>
    <mergeCell ref="G83:G84"/>
    <mergeCell ref="A85:B85"/>
    <mergeCell ref="A88:A89"/>
    <mergeCell ref="A90:A91"/>
    <mergeCell ref="A103:B103"/>
    <mergeCell ref="A107:B107"/>
    <mergeCell ref="A111:B111"/>
    <mergeCell ref="A116:B116"/>
    <mergeCell ref="F132:F133"/>
    <mergeCell ref="G132:G133"/>
    <mergeCell ref="A134:B134"/>
    <mergeCell ref="A122:B122"/>
    <mergeCell ref="A124:A126"/>
    <mergeCell ref="C124:C126"/>
    <mergeCell ref="E124:E126"/>
    <mergeCell ref="F124:F126"/>
    <mergeCell ref="G124:G126"/>
    <mergeCell ref="A137:B137"/>
    <mergeCell ref="A139:B139"/>
    <mergeCell ref="A148:B148"/>
    <mergeCell ref="A132:A133"/>
    <mergeCell ref="C132:C133"/>
    <mergeCell ref="E132:E13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38.875" style="0" customWidth="1"/>
    <col min="2" max="2" width="43.00390625" style="0" customWidth="1"/>
  </cols>
  <sheetData>
    <row r="2" ht="15" customHeight="1">
      <c r="B2" s="52" t="s">
        <v>183</v>
      </c>
    </row>
    <row r="3" spans="1:2" ht="32.25" customHeight="1">
      <c r="A3" s="793" t="s">
        <v>525</v>
      </c>
      <c r="B3" s="793"/>
    </row>
    <row r="4" spans="1:2" ht="24" customHeight="1">
      <c r="A4" s="794" t="s">
        <v>526</v>
      </c>
      <c r="B4" s="794"/>
    </row>
    <row r="15" spans="1:2" ht="12.75">
      <c r="A15" s="795" t="s">
        <v>184</v>
      </c>
      <c r="B15" s="795"/>
    </row>
    <row r="16" spans="1:2" ht="55.5" customHeight="1">
      <c r="A16" s="796" t="s">
        <v>330</v>
      </c>
      <c r="B16" s="797"/>
    </row>
  </sheetData>
  <sheetProtection/>
  <mergeCells count="4">
    <mergeCell ref="A3:B3"/>
    <mergeCell ref="A4:B4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zoomScalePageLayoutView="0" workbookViewId="0" topLeftCell="A68">
      <selection activeCell="C152" sqref="C152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277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2.75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22007100</v>
      </c>
      <c r="I9" s="124">
        <f>I15</f>
        <v>21196200</v>
      </c>
      <c r="J9" s="124"/>
      <c r="K9" s="124">
        <f>K23</f>
        <v>780900</v>
      </c>
      <c r="L9" s="125" t="s">
        <v>76</v>
      </c>
      <c r="M9" s="125" t="s">
        <v>76</v>
      </c>
      <c r="N9" s="124">
        <f>N10</f>
        <v>30000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30000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30000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 hidden="1">
      <c r="A14" s="8" t="s">
        <v>83</v>
      </c>
      <c r="B14" s="695"/>
      <c r="C14" s="9" t="s">
        <v>80</v>
      </c>
      <c r="D14" s="9" t="s">
        <v>81</v>
      </c>
      <c r="E14" s="9"/>
      <c r="F14" s="9" t="s">
        <v>208</v>
      </c>
      <c r="G14" s="9"/>
      <c r="H14" s="126">
        <f>N14</f>
        <v>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/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21196200</v>
      </c>
      <c r="I15" s="100">
        <f>I16+I18+I19+I17+I22</f>
        <v>21196200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103"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1543600</v>
      </c>
      <c r="I18" s="103">
        <v>1543600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780900</v>
      </c>
      <c r="I23" s="102" t="s">
        <v>76</v>
      </c>
      <c r="J23" s="100"/>
      <c r="K23" s="100">
        <f>SUM(K24:K43)</f>
        <v>780900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74" t="s">
        <v>89</v>
      </c>
      <c r="E24" s="62"/>
      <c r="F24" s="62" t="s">
        <v>209</v>
      </c>
      <c r="G24" s="62"/>
      <c r="H24" s="128">
        <f>K24</f>
        <v>676900</v>
      </c>
      <c r="I24" s="101" t="s">
        <v>76</v>
      </c>
      <c r="J24" s="104"/>
      <c r="K24" s="105">
        <v>676900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2" t="s">
        <v>81</v>
      </c>
      <c r="E28" s="59"/>
      <c r="F28" s="6" t="s">
        <v>209</v>
      </c>
      <c r="G28" s="9"/>
      <c r="H28" s="126">
        <f>K28</f>
        <v>24000</v>
      </c>
      <c r="I28" s="107" t="s">
        <v>76</v>
      </c>
      <c r="J28" s="78"/>
      <c r="K28" s="309">
        <v>24000</v>
      </c>
      <c r="L28" s="26"/>
      <c r="M28" s="26"/>
      <c r="N28" s="107" t="s">
        <v>76</v>
      </c>
      <c r="O28" s="7"/>
    </row>
    <row r="29" spans="1:15" ht="24.75" customHeight="1">
      <c r="A29" s="320" t="s">
        <v>280</v>
      </c>
      <c r="B29" s="62"/>
      <c r="C29" s="63" t="s">
        <v>50</v>
      </c>
      <c r="D29" s="6" t="s">
        <v>81</v>
      </c>
      <c r="E29" s="321"/>
      <c r="F29" s="308"/>
      <c r="G29" s="9"/>
      <c r="H29" s="126">
        <f>K29</f>
        <v>80000</v>
      </c>
      <c r="I29" s="107"/>
      <c r="J29" s="322"/>
      <c r="K29" s="310">
        <v>80000</v>
      </c>
      <c r="L29" s="323"/>
      <c r="M29" s="323"/>
      <c r="N29" s="107"/>
      <c r="O29" s="7"/>
    </row>
    <row r="30" spans="1:15" ht="55.5" customHeight="1" hidden="1">
      <c r="A30" s="699" t="s">
        <v>48</v>
      </c>
      <c r="B30" s="62"/>
      <c r="C30" s="63" t="s">
        <v>50</v>
      </c>
      <c r="D30" s="6" t="s">
        <v>81</v>
      </c>
      <c r="E30" s="324"/>
      <c r="F30" s="693" t="s">
        <v>209</v>
      </c>
      <c r="G30" s="9"/>
      <c r="I30" s="107" t="s">
        <v>76</v>
      </c>
      <c r="J30" s="108"/>
      <c r="K30" s="310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59" t="s">
        <v>212</v>
      </c>
      <c r="E31" s="59"/>
      <c r="F31" s="697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59" t="s">
        <v>214</v>
      </c>
      <c r="E32" s="59"/>
      <c r="F32" s="697"/>
      <c r="G32" s="9"/>
      <c r="H32" s="126">
        <f aca="true" t="shared" si="1" ref="H32:H43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59" t="s">
        <v>215</v>
      </c>
      <c r="E33" s="59"/>
      <c r="F33" s="697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59" t="s">
        <v>216</v>
      </c>
      <c r="E34" s="5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 t="s">
        <v>155</v>
      </c>
      <c r="B35" s="62"/>
      <c r="C35" s="698" t="s">
        <v>51</v>
      </c>
      <c r="D35" s="62" t="s">
        <v>81</v>
      </c>
      <c r="E35" s="59"/>
      <c r="F35" s="693" t="s">
        <v>209</v>
      </c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59" t="s">
        <v>196</v>
      </c>
      <c r="E36" s="59"/>
      <c r="F36" s="697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hidden="1">
      <c r="A37" s="711"/>
      <c r="B37" s="62"/>
      <c r="C37" s="698"/>
      <c r="D37" s="62" t="s">
        <v>166</v>
      </c>
      <c r="E37" s="59"/>
      <c r="F37" s="694"/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63.75" hidden="1">
      <c r="A38" s="65" t="s">
        <v>43</v>
      </c>
      <c r="B38" s="66"/>
      <c r="C38" s="61" t="s">
        <v>42</v>
      </c>
      <c r="D38" s="62" t="s">
        <v>162</v>
      </c>
      <c r="E38" s="59"/>
      <c r="F38" s="6" t="s">
        <v>209</v>
      </c>
      <c r="G38" s="9"/>
      <c r="H38" s="126">
        <f t="shared" si="1"/>
        <v>0</v>
      </c>
      <c r="I38" s="107" t="s">
        <v>76</v>
      </c>
      <c r="J38" s="78"/>
      <c r="K38" s="78"/>
      <c r="L38" s="26"/>
      <c r="M38" s="26"/>
      <c r="N38" s="107" t="s">
        <v>76</v>
      </c>
      <c r="O38" s="7"/>
    </row>
    <row r="39" spans="1:15" ht="25.5" hidden="1">
      <c r="A39" s="65" t="s">
        <v>225</v>
      </c>
      <c r="B39" s="66"/>
      <c r="C39" s="59" t="s">
        <v>203</v>
      </c>
      <c r="D39" s="59" t="s">
        <v>81</v>
      </c>
      <c r="E39" s="59"/>
      <c r="F39" s="6" t="s">
        <v>209</v>
      </c>
      <c r="G39" s="9"/>
      <c r="H39" s="126">
        <f t="shared" si="1"/>
        <v>0</v>
      </c>
      <c r="I39" s="107" t="s">
        <v>76</v>
      </c>
      <c r="J39" s="78"/>
      <c r="K39" s="78"/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15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22007100</v>
      </c>
      <c r="I44" s="130">
        <f>I50+I74+I91</f>
        <v>21196200</v>
      </c>
      <c r="J44" s="130"/>
      <c r="K44" s="130">
        <f>K91+K95+K97+K105+K113+K116+K118+K99+K121+K123+K125</f>
        <v>780900</v>
      </c>
      <c r="L44" s="130"/>
      <c r="M44" s="130"/>
      <c r="N44" s="130">
        <f>N127</f>
        <v>30000</v>
      </c>
      <c r="O44" s="95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684" t="s">
        <v>12</v>
      </c>
      <c r="B63" s="9"/>
      <c r="C63" s="693" t="s">
        <v>18</v>
      </c>
      <c r="D63" s="9" t="s">
        <v>81</v>
      </c>
      <c r="E63" s="693" t="s">
        <v>108</v>
      </c>
      <c r="F63" s="693" t="s">
        <v>116</v>
      </c>
      <c r="G63" s="693" t="s">
        <v>115</v>
      </c>
      <c r="H63" s="126">
        <f t="shared" si="2"/>
        <v>216300</v>
      </c>
      <c r="I63" s="113">
        <v>216300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686"/>
      <c r="B64" s="9"/>
      <c r="C64" s="694"/>
      <c r="D64" s="14">
        <v>14130030000000000</v>
      </c>
      <c r="E64" s="694"/>
      <c r="F64" s="694"/>
      <c r="G64" s="694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/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56000</v>
      </c>
      <c r="I68" s="113">
        <v>56000</v>
      </c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20000</v>
      </c>
      <c r="I70" s="79">
        <v>20000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85" t="s">
        <v>243</v>
      </c>
      <c r="B71" s="57"/>
      <c r="C71" s="9" t="s">
        <v>18</v>
      </c>
      <c r="D71" s="14">
        <v>14130030000000000</v>
      </c>
      <c r="E71" s="9" t="s">
        <v>108</v>
      </c>
      <c r="F71" s="9" t="s">
        <v>244</v>
      </c>
      <c r="G71" s="9" t="s">
        <v>115</v>
      </c>
      <c r="H71" s="126">
        <f t="shared" si="2"/>
        <v>20000</v>
      </c>
      <c r="I71" s="79">
        <v>20000</v>
      </c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4098400</v>
      </c>
      <c r="I74" s="97">
        <f>SUM(I75:I90)</f>
        <v>4098400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22" t="s">
        <v>9</v>
      </c>
      <c r="B75" s="9"/>
      <c r="C75" s="9" t="s">
        <v>20</v>
      </c>
      <c r="D75" s="9" t="s">
        <v>81</v>
      </c>
      <c r="E75" s="9" t="s">
        <v>108</v>
      </c>
      <c r="F75" s="9" t="s">
        <v>120</v>
      </c>
      <c r="G75" s="9" t="s">
        <v>115</v>
      </c>
      <c r="H75" s="126">
        <f>I75</f>
        <v>1083500</v>
      </c>
      <c r="I75" s="78">
        <v>1083500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 t="s">
        <v>76</v>
      </c>
    </row>
    <row r="76" spans="1:15" s="25" customFormat="1" ht="11.25" customHeight="1">
      <c r="A76" s="691" t="s">
        <v>11</v>
      </c>
      <c r="B76" s="9"/>
      <c r="C76" s="693" t="s">
        <v>20</v>
      </c>
      <c r="D76" s="9" t="s">
        <v>81</v>
      </c>
      <c r="E76" s="693" t="s">
        <v>108</v>
      </c>
      <c r="F76" s="693" t="s">
        <v>121</v>
      </c>
      <c r="G76" s="693" t="s">
        <v>115</v>
      </c>
      <c r="H76" s="126">
        <f aca="true" t="shared" si="3" ref="H76:H90">I76</f>
        <v>246900</v>
      </c>
      <c r="I76" s="112">
        <v>246900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 t="s">
        <v>76</v>
      </c>
    </row>
    <row r="77" spans="1:15" s="25" customFormat="1" ht="12.75">
      <c r="A77" s="692"/>
      <c r="B77" s="9"/>
      <c r="C77" s="694"/>
      <c r="D77" s="14">
        <v>14130030000000000</v>
      </c>
      <c r="E77" s="694"/>
      <c r="F77" s="694"/>
      <c r="G77" s="694"/>
      <c r="H77" s="126">
        <f t="shared" si="3"/>
        <v>2020000</v>
      </c>
      <c r="I77" s="112">
        <v>2020000</v>
      </c>
      <c r="J77" s="114"/>
      <c r="K77" s="101" t="s">
        <v>76</v>
      </c>
      <c r="L77" s="101"/>
      <c r="M77" s="101"/>
      <c r="N77" s="101" t="s">
        <v>76</v>
      </c>
      <c r="O77" s="6"/>
    </row>
    <row r="78" spans="1:15" s="25" customFormat="1" ht="12.75">
      <c r="A78" s="691" t="s">
        <v>12</v>
      </c>
      <c r="B78" s="9"/>
      <c r="C78" s="693" t="s">
        <v>20</v>
      </c>
      <c r="D78" s="9" t="s">
        <v>81</v>
      </c>
      <c r="E78" s="693" t="s">
        <v>108</v>
      </c>
      <c r="F78" s="693" t="s">
        <v>116</v>
      </c>
      <c r="G78" s="693" t="s">
        <v>115</v>
      </c>
      <c r="H78" s="126">
        <f t="shared" si="3"/>
        <v>99900</v>
      </c>
      <c r="I78" s="78">
        <v>99900</v>
      </c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 t="s">
        <v>76</v>
      </c>
    </row>
    <row r="79" spans="1:15" s="25" customFormat="1" ht="12.75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534800</v>
      </c>
      <c r="I79" s="115">
        <v>534800</v>
      </c>
      <c r="J79" s="78"/>
      <c r="K79" s="107" t="s">
        <v>76</v>
      </c>
      <c r="L79" s="107"/>
      <c r="M79" s="107"/>
      <c r="N79" s="107" t="s">
        <v>76</v>
      </c>
      <c r="O79" s="6"/>
    </row>
    <row r="80" spans="1:15" s="25" customFormat="1" ht="12.75">
      <c r="A80" s="22" t="s">
        <v>249</v>
      </c>
      <c r="B80" s="9"/>
      <c r="C80" s="9" t="s">
        <v>20</v>
      </c>
      <c r="D80" s="9" t="s">
        <v>81</v>
      </c>
      <c r="E80" s="9" t="s">
        <v>108</v>
      </c>
      <c r="F80" s="9" t="s">
        <v>206</v>
      </c>
      <c r="G80" s="9" t="s">
        <v>122</v>
      </c>
      <c r="H80" s="126">
        <f t="shared" si="3"/>
        <v>55400</v>
      </c>
      <c r="I80" s="78">
        <v>55400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 t="s">
        <v>76</v>
      </c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250</v>
      </c>
      <c r="H81" s="126">
        <f t="shared" si="3"/>
        <v>4800</v>
      </c>
      <c r="I81" s="79">
        <v>4800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 hidden="1">
      <c r="A82" s="22" t="s">
        <v>14</v>
      </c>
      <c r="B82" s="9"/>
      <c r="C82" s="9" t="s">
        <v>20</v>
      </c>
      <c r="D82" s="9" t="s">
        <v>81</v>
      </c>
      <c r="E82" s="9" t="s">
        <v>124</v>
      </c>
      <c r="F82" s="9" t="s">
        <v>118</v>
      </c>
      <c r="G82" s="9" t="s">
        <v>115</v>
      </c>
      <c r="H82" s="126">
        <f t="shared" si="3"/>
        <v>0</v>
      </c>
      <c r="I82" s="78"/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51" hidden="1">
      <c r="A83" s="82" t="s">
        <v>237</v>
      </c>
      <c r="B83" s="9"/>
      <c r="C83" s="83" t="s">
        <v>18</v>
      </c>
      <c r="D83" s="9" t="s">
        <v>81</v>
      </c>
      <c r="E83" s="83" t="s">
        <v>124</v>
      </c>
      <c r="F83" s="84" t="s">
        <v>238</v>
      </c>
      <c r="G83" s="84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/>
    </row>
    <row r="84" spans="1:15" s="25" customFormat="1" ht="38.25" hidden="1">
      <c r="A84" s="82" t="s">
        <v>239</v>
      </c>
      <c r="B84" s="9"/>
      <c r="C84" s="83" t="s">
        <v>18</v>
      </c>
      <c r="D84" s="9" t="s">
        <v>81</v>
      </c>
      <c r="E84" s="83" t="s">
        <v>124</v>
      </c>
      <c r="F84" s="84" t="s">
        <v>240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25.5">
      <c r="A85" s="85" t="s">
        <v>248</v>
      </c>
      <c r="B85" s="9"/>
      <c r="C85" s="9" t="s">
        <v>20</v>
      </c>
      <c r="D85" s="9" t="s">
        <v>81</v>
      </c>
      <c r="E85" s="83" t="s">
        <v>108</v>
      </c>
      <c r="F85" s="10" t="s">
        <v>247</v>
      </c>
      <c r="G85" s="84" t="s">
        <v>115</v>
      </c>
      <c r="H85" s="126">
        <f t="shared" si="3"/>
        <v>10000</v>
      </c>
      <c r="I85" s="78">
        <v>10000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22" t="s">
        <v>241</v>
      </c>
      <c r="B86" s="9"/>
      <c r="C86" s="9" t="s">
        <v>20</v>
      </c>
      <c r="D86" s="9" t="s">
        <v>81</v>
      </c>
      <c r="E86" s="9" t="s">
        <v>108</v>
      </c>
      <c r="F86" s="9" t="s">
        <v>242</v>
      </c>
      <c r="G86" s="9" t="s">
        <v>115</v>
      </c>
      <c r="H86" s="126">
        <f t="shared" si="3"/>
        <v>33100</v>
      </c>
      <c r="I86" s="78">
        <v>33100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25.5">
      <c r="A87" s="85" t="s">
        <v>243</v>
      </c>
      <c r="B87" s="57"/>
      <c r="C87" s="9" t="s">
        <v>20</v>
      </c>
      <c r="D87" s="9" t="s">
        <v>81</v>
      </c>
      <c r="E87" s="9" t="s">
        <v>108</v>
      </c>
      <c r="F87" s="9" t="s">
        <v>244</v>
      </c>
      <c r="G87" s="9" t="s">
        <v>115</v>
      </c>
      <c r="H87" s="126">
        <f t="shared" si="3"/>
        <v>10000</v>
      </c>
      <c r="I87" s="78">
        <v>10000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12.75" hidden="1">
      <c r="A88" s="22"/>
      <c r="B88" s="9"/>
      <c r="C88" s="9"/>
      <c r="D88" s="9"/>
      <c r="E88" s="9"/>
      <c r="F88" s="9"/>
      <c r="G88" s="9"/>
      <c r="H88" s="126"/>
      <c r="I88" s="78"/>
      <c r="J88" s="78"/>
      <c r="K88" s="107"/>
      <c r="L88" s="107"/>
      <c r="M88" s="107"/>
      <c r="N88" s="107"/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 t="s">
        <v>188</v>
      </c>
      <c r="B90" s="9"/>
      <c r="C90" s="9" t="s">
        <v>20</v>
      </c>
      <c r="D90" s="9" t="s">
        <v>81</v>
      </c>
      <c r="E90" s="9" t="s">
        <v>108</v>
      </c>
      <c r="F90" s="9" t="s">
        <v>119</v>
      </c>
      <c r="G90" s="9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 t="s">
        <v>76</v>
      </c>
    </row>
    <row r="91" spans="1:15" s="25" customFormat="1" ht="13.5">
      <c r="A91" s="681" t="s">
        <v>125</v>
      </c>
      <c r="B91" s="683"/>
      <c r="C91" s="27" t="s">
        <v>21</v>
      </c>
      <c r="D91" s="3"/>
      <c r="E91" s="27"/>
      <c r="F91" s="3"/>
      <c r="G91" s="3"/>
      <c r="H91" s="124">
        <f>K91</f>
        <v>676900</v>
      </c>
      <c r="I91" s="98"/>
      <c r="J91" s="97"/>
      <c r="K91" s="97">
        <f>K94</f>
        <v>676900</v>
      </c>
      <c r="L91" s="110"/>
      <c r="M91" s="110"/>
      <c r="N91" s="111" t="s">
        <v>107</v>
      </c>
      <c r="O91" s="28"/>
    </row>
    <row r="92" spans="1:15" s="25" customFormat="1" ht="12.75" hidden="1">
      <c r="A92" s="22" t="s">
        <v>4</v>
      </c>
      <c r="B92" s="9"/>
      <c r="C92" s="9"/>
      <c r="D92" s="9"/>
      <c r="E92" s="9"/>
      <c r="F92" s="9" t="s">
        <v>99</v>
      </c>
      <c r="G92" s="9" t="s">
        <v>109</v>
      </c>
      <c r="H92" s="126">
        <f>I92</f>
        <v>0</v>
      </c>
      <c r="I92" s="78"/>
      <c r="J92" s="78"/>
      <c r="K92" s="116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2.75" hidden="1">
      <c r="A93" s="22" t="s">
        <v>5</v>
      </c>
      <c r="B93" s="9"/>
      <c r="C93" s="9"/>
      <c r="D93" s="9"/>
      <c r="E93" s="9"/>
      <c r="F93" s="9"/>
      <c r="G93" s="9"/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3.5">
      <c r="A94" s="22" t="s">
        <v>12</v>
      </c>
      <c r="B94" s="9"/>
      <c r="C94" s="41" t="s">
        <v>21</v>
      </c>
      <c r="D94" s="9" t="s">
        <v>89</v>
      </c>
      <c r="E94" s="9" t="s">
        <v>126</v>
      </c>
      <c r="F94" s="9" t="s">
        <v>116</v>
      </c>
      <c r="G94" s="9" t="s">
        <v>115</v>
      </c>
      <c r="H94" s="126">
        <f aca="true" t="shared" si="4" ref="H94:H104">K94</f>
        <v>676900</v>
      </c>
      <c r="I94" s="107" t="s">
        <v>76</v>
      </c>
      <c r="J94" s="78"/>
      <c r="K94" s="105">
        <v>676900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8.75" customHeight="1" hidden="1">
      <c r="A95" s="687" t="s">
        <v>127</v>
      </c>
      <c r="B95" s="688"/>
      <c r="C95" s="27" t="s">
        <v>22</v>
      </c>
      <c r="D95" s="3"/>
      <c r="E95" s="3"/>
      <c r="F95" s="3"/>
      <c r="G95" s="3"/>
      <c r="H95" s="131">
        <f t="shared" si="4"/>
        <v>0</v>
      </c>
      <c r="I95" s="117"/>
      <c r="J95" s="110"/>
      <c r="K95" s="118">
        <f>K96</f>
        <v>0</v>
      </c>
      <c r="L95" s="117"/>
      <c r="M95" s="117"/>
      <c r="N95" s="117"/>
      <c r="O95" s="6"/>
    </row>
    <row r="96" spans="1:15" s="25" customFormat="1" ht="13.5" customHeight="1" hidden="1">
      <c r="A96" s="22" t="s">
        <v>12</v>
      </c>
      <c r="B96" s="40"/>
      <c r="C96" s="41" t="s">
        <v>22</v>
      </c>
      <c r="D96" s="9" t="s">
        <v>81</v>
      </c>
      <c r="E96" s="9" t="s">
        <v>108</v>
      </c>
      <c r="F96" s="9" t="s">
        <v>116</v>
      </c>
      <c r="G96" s="9" t="s">
        <v>115</v>
      </c>
      <c r="H96" s="126">
        <f t="shared" si="4"/>
        <v>0</v>
      </c>
      <c r="I96" s="107" t="s">
        <v>76</v>
      </c>
      <c r="J96" s="78"/>
      <c r="K96" s="116"/>
      <c r="L96" s="107"/>
      <c r="M96" s="107"/>
      <c r="N96" s="107" t="s">
        <v>76</v>
      </c>
      <c r="O96" s="6"/>
    </row>
    <row r="97" spans="1:15" s="25" customFormat="1" ht="28.5" customHeight="1">
      <c r="A97" s="39" t="s">
        <v>190</v>
      </c>
      <c r="B97" s="55"/>
      <c r="C97" s="27" t="s">
        <v>41</v>
      </c>
      <c r="D97" s="3"/>
      <c r="E97" s="3"/>
      <c r="F97" s="3"/>
      <c r="G97" s="3"/>
      <c r="H97" s="124">
        <f t="shared" si="4"/>
        <v>24000</v>
      </c>
      <c r="I97" s="119"/>
      <c r="J97" s="97"/>
      <c r="K97" s="120">
        <f>K98</f>
        <v>24000</v>
      </c>
      <c r="L97" s="117"/>
      <c r="M97" s="117"/>
      <c r="N97" s="117"/>
      <c r="O97" s="6"/>
    </row>
    <row r="98" spans="1:15" s="25" customFormat="1" ht="12.75">
      <c r="A98" s="311" t="s">
        <v>12</v>
      </c>
      <c r="B98" s="312"/>
      <c r="C98" s="313" t="s">
        <v>41</v>
      </c>
      <c r="D98" s="313" t="s">
        <v>81</v>
      </c>
      <c r="E98" s="313" t="s">
        <v>154</v>
      </c>
      <c r="F98" s="313" t="s">
        <v>116</v>
      </c>
      <c r="G98" s="313" t="s">
        <v>115</v>
      </c>
      <c r="H98" s="314">
        <f t="shared" si="4"/>
        <v>24000</v>
      </c>
      <c r="I98" s="315" t="s">
        <v>76</v>
      </c>
      <c r="J98" s="309"/>
      <c r="K98" s="316">
        <v>24000</v>
      </c>
      <c r="L98" s="315"/>
      <c r="M98" s="315"/>
      <c r="N98" s="315" t="s">
        <v>76</v>
      </c>
      <c r="O98" s="6"/>
    </row>
    <row r="99" spans="1:15" s="25" customFormat="1" ht="45" customHeight="1">
      <c r="A99" s="681" t="s">
        <v>334</v>
      </c>
      <c r="B99" s="683"/>
      <c r="C99" s="27" t="s">
        <v>211</v>
      </c>
      <c r="D99" s="3"/>
      <c r="E99" s="3"/>
      <c r="F99" s="3"/>
      <c r="G99" s="3"/>
      <c r="H99" s="124">
        <f t="shared" si="4"/>
        <v>80000</v>
      </c>
      <c r="I99" s="117" t="s">
        <v>76</v>
      </c>
      <c r="J99" s="110"/>
      <c r="K99" s="97">
        <f>SUM(K100:K104)</f>
        <v>80000</v>
      </c>
      <c r="L99" s="117"/>
      <c r="M99" s="117"/>
      <c r="N99" s="117" t="s">
        <v>76</v>
      </c>
      <c r="O99" s="6"/>
    </row>
    <row r="100" spans="1:15" s="25" customFormat="1" ht="12.75">
      <c r="A100" s="311" t="s">
        <v>12</v>
      </c>
      <c r="B100" s="317"/>
      <c r="C100" s="313" t="s">
        <v>204</v>
      </c>
      <c r="D100" s="313" t="s">
        <v>81</v>
      </c>
      <c r="E100" s="313" t="s">
        <v>108</v>
      </c>
      <c r="F100" s="313" t="s">
        <v>116</v>
      </c>
      <c r="G100" s="313" t="s">
        <v>115</v>
      </c>
      <c r="H100" s="314">
        <f t="shared" si="4"/>
        <v>80000</v>
      </c>
      <c r="I100" s="315" t="s">
        <v>76</v>
      </c>
      <c r="J100" s="315"/>
      <c r="K100" s="316">
        <v>80000</v>
      </c>
      <c r="L100" s="315"/>
      <c r="M100" s="315"/>
      <c r="N100" s="315" t="s">
        <v>76</v>
      </c>
      <c r="O100" s="6"/>
    </row>
    <row r="101" spans="1:15" s="25" customFormat="1" ht="12.75" hidden="1">
      <c r="A101" s="22" t="s">
        <v>213</v>
      </c>
      <c r="B101" s="9"/>
      <c r="C101" s="9" t="s">
        <v>211</v>
      </c>
      <c r="D101" s="9" t="s">
        <v>212</v>
      </c>
      <c r="E101" s="9" t="s">
        <v>108</v>
      </c>
      <c r="F101" s="9" t="s">
        <v>116</v>
      </c>
      <c r="G101" s="9" t="s">
        <v>115</v>
      </c>
      <c r="H101" s="126">
        <f t="shared" si="4"/>
        <v>0</v>
      </c>
      <c r="I101" s="107" t="s">
        <v>76</v>
      </c>
      <c r="J101" s="78"/>
      <c r="K101" s="116"/>
      <c r="L101" s="107"/>
      <c r="M101" s="107"/>
      <c r="N101" s="107" t="s">
        <v>76</v>
      </c>
      <c r="O101" s="64" t="s">
        <v>76</v>
      </c>
    </row>
    <row r="102" spans="1:15" s="25" customFormat="1" ht="12.75" hidden="1">
      <c r="A102" s="61" t="s">
        <v>213</v>
      </c>
      <c r="B102" s="59"/>
      <c r="C102" s="59" t="s">
        <v>211</v>
      </c>
      <c r="D102" s="59" t="s">
        <v>214</v>
      </c>
      <c r="E102" s="59" t="s">
        <v>108</v>
      </c>
      <c r="F102" s="59" t="s">
        <v>116</v>
      </c>
      <c r="G102" s="59" t="s">
        <v>115</v>
      </c>
      <c r="H102" s="127">
        <f t="shared" si="4"/>
        <v>0</v>
      </c>
      <c r="I102" s="101" t="s">
        <v>76</v>
      </c>
      <c r="J102" s="100"/>
      <c r="K102" s="116"/>
      <c r="L102" s="101"/>
      <c r="M102" s="101"/>
      <c r="N102" s="101" t="s">
        <v>76</v>
      </c>
      <c r="O102" s="6"/>
    </row>
    <row r="103" spans="1:15" s="25" customFormat="1" ht="12.75" hidden="1">
      <c r="A103" s="61" t="s">
        <v>213</v>
      </c>
      <c r="B103" s="59"/>
      <c r="C103" s="59" t="s">
        <v>211</v>
      </c>
      <c r="D103" s="59" t="s">
        <v>215</v>
      </c>
      <c r="E103" s="59" t="s">
        <v>108</v>
      </c>
      <c r="F103" s="59" t="s">
        <v>116</v>
      </c>
      <c r="G103" s="59" t="s">
        <v>115</v>
      </c>
      <c r="H103" s="127">
        <f t="shared" si="4"/>
        <v>0</v>
      </c>
      <c r="I103" s="101" t="s">
        <v>76</v>
      </c>
      <c r="J103" s="100"/>
      <c r="K103" s="116"/>
      <c r="L103" s="101"/>
      <c r="M103" s="101"/>
      <c r="N103" s="101" t="s">
        <v>76</v>
      </c>
      <c r="O103" s="6"/>
    </row>
    <row r="104" spans="1:15" s="25" customFormat="1" ht="12.75" hidden="1">
      <c r="A104" s="61" t="s">
        <v>213</v>
      </c>
      <c r="B104" s="59"/>
      <c r="C104" s="59" t="s">
        <v>211</v>
      </c>
      <c r="D104" s="59" t="s">
        <v>216</v>
      </c>
      <c r="E104" s="59" t="s">
        <v>108</v>
      </c>
      <c r="F104" s="59" t="s">
        <v>116</v>
      </c>
      <c r="G104" s="59" t="s">
        <v>115</v>
      </c>
      <c r="H104" s="127">
        <f t="shared" si="4"/>
        <v>0</v>
      </c>
      <c r="I104" s="101" t="s">
        <v>76</v>
      </c>
      <c r="J104" s="100"/>
      <c r="K104" s="116"/>
      <c r="L104" s="101"/>
      <c r="M104" s="101"/>
      <c r="N104" s="101" t="s">
        <v>76</v>
      </c>
      <c r="O104" s="6"/>
    </row>
    <row r="105" spans="1:15" s="25" customFormat="1" ht="41.25" customHeight="1" hidden="1">
      <c r="A105" s="681" t="s">
        <v>217</v>
      </c>
      <c r="B105" s="683"/>
      <c r="C105" s="27" t="s">
        <v>51</v>
      </c>
      <c r="D105" s="43"/>
      <c r="E105" s="42"/>
      <c r="F105" s="42"/>
      <c r="G105" s="42"/>
      <c r="H105" s="124"/>
      <c r="I105" s="119"/>
      <c r="J105" s="97"/>
      <c r="K105" s="120">
        <f>SUM(K107:K112)</f>
        <v>0</v>
      </c>
      <c r="L105" s="119"/>
      <c r="M105" s="119"/>
      <c r="N105" s="119"/>
      <c r="O105" s="6"/>
    </row>
    <row r="106" spans="1:15" s="25" customFormat="1" ht="12.75" hidden="1">
      <c r="A106" s="61" t="s">
        <v>11</v>
      </c>
      <c r="B106" s="59"/>
      <c r="C106" s="59" t="s">
        <v>51</v>
      </c>
      <c r="D106" s="59" t="s">
        <v>81</v>
      </c>
      <c r="E106" s="59" t="s">
        <v>218</v>
      </c>
      <c r="F106" s="59" t="s">
        <v>121</v>
      </c>
      <c r="G106" s="59" t="s">
        <v>115</v>
      </c>
      <c r="H106" s="127">
        <f aca="true" t="shared" si="5" ref="H106:H112">K106</f>
        <v>0</v>
      </c>
      <c r="I106" s="101" t="s">
        <v>76</v>
      </c>
      <c r="J106" s="102"/>
      <c r="K106" s="104"/>
      <c r="L106" s="102"/>
      <c r="M106" s="100"/>
      <c r="N106" s="101" t="s">
        <v>76</v>
      </c>
      <c r="O106" s="6"/>
    </row>
    <row r="107" spans="1:15" s="25" customFormat="1" ht="12.75" hidden="1">
      <c r="A107" s="684" t="s">
        <v>12</v>
      </c>
      <c r="B107" s="9"/>
      <c r="C107" s="678" t="s">
        <v>51</v>
      </c>
      <c r="D107" s="9" t="s">
        <v>81</v>
      </c>
      <c r="E107" s="678" t="s">
        <v>218</v>
      </c>
      <c r="F107" s="678" t="s">
        <v>116</v>
      </c>
      <c r="G107" s="678" t="s">
        <v>115</v>
      </c>
      <c r="H107" s="126">
        <f t="shared" si="5"/>
        <v>0</v>
      </c>
      <c r="I107" s="107" t="s">
        <v>76</v>
      </c>
      <c r="J107" s="107"/>
      <c r="K107" s="116"/>
      <c r="L107" s="101"/>
      <c r="M107" s="101"/>
      <c r="N107" s="101" t="s">
        <v>76</v>
      </c>
      <c r="O107" s="6"/>
    </row>
    <row r="108" spans="1:15" s="25" customFormat="1" ht="12.75" hidden="1">
      <c r="A108" s="685"/>
      <c r="B108" s="9"/>
      <c r="C108" s="679"/>
      <c r="D108" s="9" t="s">
        <v>219</v>
      </c>
      <c r="E108" s="679"/>
      <c r="F108" s="679"/>
      <c r="G108" s="679"/>
      <c r="H108" s="126">
        <f t="shared" si="5"/>
        <v>0</v>
      </c>
      <c r="I108" s="107" t="s">
        <v>76</v>
      </c>
      <c r="J108" s="107"/>
      <c r="K108" s="116"/>
      <c r="L108" s="101"/>
      <c r="M108" s="101"/>
      <c r="N108" s="101" t="s">
        <v>76</v>
      </c>
      <c r="O108" s="6"/>
    </row>
    <row r="109" spans="1:15" s="25" customFormat="1" ht="12.75" hidden="1">
      <c r="A109" s="686"/>
      <c r="B109" s="9"/>
      <c r="C109" s="680"/>
      <c r="D109" s="9" t="s">
        <v>196</v>
      </c>
      <c r="E109" s="680"/>
      <c r="F109" s="680"/>
      <c r="G109" s="680"/>
      <c r="H109" s="126">
        <f t="shared" si="5"/>
        <v>0</v>
      </c>
      <c r="I109" s="107"/>
      <c r="J109" s="107"/>
      <c r="K109" s="116"/>
      <c r="L109" s="101"/>
      <c r="M109" s="101"/>
      <c r="N109" s="101"/>
      <c r="O109" s="6"/>
    </row>
    <row r="110" spans="1:15" s="25" customFormat="1" ht="25.5" hidden="1">
      <c r="A110" s="22" t="s">
        <v>220</v>
      </c>
      <c r="B110" s="9"/>
      <c r="C110" s="9" t="s">
        <v>51</v>
      </c>
      <c r="D110" s="9" t="s">
        <v>81</v>
      </c>
      <c r="E110" s="9" t="s">
        <v>218</v>
      </c>
      <c r="F110" s="9" t="s">
        <v>118</v>
      </c>
      <c r="G110" s="9" t="s">
        <v>115</v>
      </c>
      <c r="H110" s="126">
        <f>K110</f>
        <v>0</v>
      </c>
      <c r="I110" s="107" t="s">
        <v>76</v>
      </c>
      <c r="J110" s="107"/>
      <c r="K110" s="116"/>
      <c r="L110" s="101"/>
      <c r="M110" s="101"/>
      <c r="N110" s="101" t="s">
        <v>76</v>
      </c>
      <c r="O110" s="6"/>
    </row>
    <row r="111" spans="1:15" s="25" customFormat="1" ht="12.75" hidden="1">
      <c r="A111" s="684" t="s">
        <v>221</v>
      </c>
      <c r="B111" s="9"/>
      <c r="C111" s="678" t="s">
        <v>51</v>
      </c>
      <c r="D111" s="9" t="s">
        <v>81</v>
      </c>
      <c r="E111" s="678" t="s">
        <v>218</v>
      </c>
      <c r="F111" s="678" t="s">
        <v>119</v>
      </c>
      <c r="G111" s="678" t="s">
        <v>115</v>
      </c>
      <c r="H111" s="126">
        <f t="shared" si="5"/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2.75" hidden="1">
      <c r="A112" s="686"/>
      <c r="B112" s="9"/>
      <c r="C112" s="680"/>
      <c r="D112" s="9" t="s">
        <v>196</v>
      </c>
      <c r="E112" s="680"/>
      <c r="F112" s="680"/>
      <c r="G112" s="680"/>
      <c r="H112" s="126">
        <f t="shared" si="5"/>
        <v>0</v>
      </c>
      <c r="I112" s="107" t="s">
        <v>76</v>
      </c>
      <c r="J112" s="107"/>
      <c r="K112" s="116"/>
      <c r="L112" s="101"/>
      <c r="M112" s="101"/>
      <c r="N112" s="101" t="s">
        <v>76</v>
      </c>
      <c r="O112" s="6"/>
    </row>
    <row r="113" spans="1:15" s="25" customFormat="1" ht="15" customHeight="1" hidden="1">
      <c r="A113" s="681" t="s">
        <v>210</v>
      </c>
      <c r="B113" s="683"/>
      <c r="C113" s="27" t="s">
        <v>163</v>
      </c>
      <c r="D113" s="44"/>
      <c r="E113" s="3"/>
      <c r="F113" s="3"/>
      <c r="G113" s="3"/>
      <c r="H113" s="131"/>
      <c r="I113" s="117"/>
      <c r="J113" s="110"/>
      <c r="K113" s="120">
        <f>K114+K115</f>
        <v>0</v>
      </c>
      <c r="L113" s="117"/>
      <c r="M113" s="117"/>
      <c r="N113" s="117"/>
      <c r="O113" s="6"/>
    </row>
    <row r="114" spans="1:15" s="25" customFormat="1" ht="15" customHeight="1" hidden="1">
      <c r="A114" s="22" t="s">
        <v>11</v>
      </c>
      <c r="B114" s="40"/>
      <c r="C114" s="41" t="s">
        <v>163</v>
      </c>
      <c r="D114" s="6" t="s">
        <v>162</v>
      </c>
      <c r="E114" s="9" t="s">
        <v>157</v>
      </c>
      <c r="F114" s="46">
        <v>225</v>
      </c>
      <c r="G114" s="9" t="s">
        <v>115</v>
      </c>
      <c r="H114" s="129" t="s">
        <v>76</v>
      </c>
      <c r="I114" s="107" t="s">
        <v>76</v>
      </c>
      <c r="J114" s="78"/>
      <c r="K114" s="116"/>
      <c r="L114" s="107"/>
      <c r="M114" s="107"/>
      <c r="N114" s="107" t="s">
        <v>76</v>
      </c>
      <c r="O114" s="6"/>
    </row>
    <row r="115" spans="1:15" s="25" customFormat="1" ht="13.5" hidden="1">
      <c r="A115" s="47" t="s">
        <v>14</v>
      </c>
      <c r="B115" s="40"/>
      <c r="C115" s="41" t="s">
        <v>163</v>
      </c>
      <c r="D115" s="6" t="s">
        <v>162</v>
      </c>
      <c r="E115" s="9" t="s">
        <v>157</v>
      </c>
      <c r="F115" s="9" t="s">
        <v>118</v>
      </c>
      <c r="G115" s="9" t="s">
        <v>115</v>
      </c>
      <c r="H115" s="126"/>
      <c r="I115" s="107"/>
      <c r="J115" s="78"/>
      <c r="K115" s="116"/>
      <c r="L115" s="107"/>
      <c r="M115" s="107"/>
      <c r="N115" s="107"/>
      <c r="O115" s="6"/>
    </row>
    <row r="116" spans="1:15" s="25" customFormat="1" ht="15" customHeight="1" hidden="1">
      <c r="A116" s="681" t="s">
        <v>177</v>
      </c>
      <c r="B116" s="683"/>
      <c r="C116" s="27" t="s">
        <v>23</v>
      </c>
      <c r="D116" s="44"/>
      <c r="E116" s="3"/>
      <c r="F116" s="3"/>
      <c r="G116" s="3"/>
      <c r="H116" s="131"/>
      <c r="I116" s="117"/>
      <c r="J116" s="110"/>
      <c r="K116" s="118">
        <f>K117</f>
        <v>0</v>
      </c>
      <c r="L116" s="117"/>
      <c r="M116" s="117"/>
      <c r="N116" s="117"/>
      <c r="O116" s="6"/>
    </row>
    <row r="117" spans="1:15" s="25" customFormat="1" ht="15" customHeight="1" hidden="1">
      <c r="A117" s="22" t="s">
        <v>178</v>
      </c>
      <c r="B117" s="9"/>
      <c r="C117" s="9" t="s">
        <v>23</v>
      </c>
      <c r="D117" s="9" t="s">
        <v>81</v>
      </c>
      <c r="E117" s="9" t="s">
        <v>108</v>
      </c>
      <c r="F117" s="9" t="s">
        <v>116</v>
      </c>
      <c r="G117" s="9" t="s">
        <v>115</v>
      </c>
      <c r="H117" s="126"/>
      <c r="I117" s="107"/>
      <c r="J117" s="78"/>
      <c r="K117" s="116"/>
      <c r="L117" s="107"/>
      <c r="M117" s="107"/>
      <c r="N117" s="107"/>
      <c r="O117" s="6"/>
    </row>
    <row r="118" spans="1:15" s="25" customFormat="1" ht="29.25" customHeight="1" hidden="1">
      <c r="A118" s="681" t="s">
        <v>191</v>
      </c>
      <c r="B118" s="683"/>
      <c r="C118" s="27" t="s">
        <v>192</v>
      </c>
      <c r="D118" s="3"/>
      <c r="E118" s="3"/>
      <c r="F118" s="3"/>
      <c r="G118" s="3"/>
      <c r="H118" s="124">
        <f aca="true" t="shared" si="6" ref="H118:H124">K118</f>
        <v>0</v>
      </c>
      <c r="I118" s="119"/>
      <c r="J118" s="97"/>
      <c r="K118" s="97">
        <f>K119+K120</f>
        <v>0</v>
      </c>
      <c r="L118" s="117"/>
      <c r="M118" s="117"/>
      <c r="N118" s="117"/>
      <c r="O118" s="6"/>
    </row>
    <row r="119" spans="1:15" s="25" customFormat="1" ht="16.5" customHeight="1" hidden="1">
      <c r="A119" s="61" t="s">
        <v>195</v>
      </c>
      <c r="B119" s="67"/>
      <c r="C119" s="59" t="s">
        <v>192</v>
      </c>
      <c r="D119" s="59" t="s">
        <v>193</v>
      </c>
      <c r="E119" s="59" t="s">
        <v>108</v>
      </c>
      <c r="F119" s="59" t="s">
        <v>121</v>
      </c>
      <c r="G119" s="59" t="s">
        <v>194</v>
      </c>
      <c r="H119" s="127">
        <f t="shared" si="6"/>
        <v>0</v>
      </c>
      <c r="I119" s="101" t="s">
        <v>76</v>
      </c>
      <c r="J119" s="100"/>
      <c r="K119" s="104"/>
      <c r="L119" s="101"/>
      <c r="M119" s="101"/>
      <c r="N119" s="101" t="s">
        <v>76</v>
      </c>
      <c r="O119" s="6"/>
    </row>
    <row r="120" spans="1:15" s="25" customFormat="1" ht="16.5" customHeight="1" hidden="1">
      <c r="A120" s="61" t="s">
        <v>195</v>
      </c>
      <c r="B120" s="68"/>
      <c r="C120" s="59" t="s">
        <v>192</v>
      </c>
      <c r="D120" s="59" t="s">
        <v>196</v>
      </c>
      <c r="E120" s="59" t="s">
        <v>108</v>
      </c>
      <c r="F120" s="59" t="s">
        <v>121</v>
      </c>
      <c r="G120" s="59" t="s">
        <v>194</v>
      </c>
      <c r="H120" s="127">
        <f t="shared" si="6"/>
        <v>0</v>
      </c>
      <c r="I120" s="101" t="s">
        <v>76</v>
      </c>
      <c r="J120" s="100"/>
      <c r="K120" s="104"/>
      <c r="L120" s="101"/>
      <c r="M120" s="101"/>
      <c r="N120" s="101" t="s">
        <v>76</v>
      </c>
      <c r="O120" s="6"/>
    </row>
    <row r="121" spans="1:15" s="25" customFormat="1" ht="16.5" customHeight="1" hidden="1">
      <c r="A121" s="39" t="s">
        <v>222</v>
      </c>
      <c r="B121" s="38"/>
      <c r="C121" s="27" t="s">
        <v>203</v>
      </c>
      <c r="D121" s="3"/>
      <c r="E121" s="3"/>
      <c r="F121" s="3"/>
      <c r="G121" s="3"/>
      <c r="H121" s="124">
        <f t="shared" si="6"/>
        <v>0</v>
      </c>
      <c r="I121" s="117" t="s">
        <v>76</v>
      </c>
      <c r="J121" s="110"/>
      <c r="K121" s="120">
        <f>K122</f>
        <v>0</v>
      </c>
      <c r="L121" s="117"/>
      <c r="M121" s="117"/>
      <c r="N121" s="117" t="s">
        <v>76</v>
      </c>
      <c r="O121" s="6"/>
    </row>
    <row r="122" spans="1:15" s="25" customFormat="1" ht="24" customHeight="1" hidden="1">
      <c r="A122" s="22" t="s">
        <v>236</v>
      </c>
      <c r="B122" s="40"/>
      <c r="C122" s="9" t="s">
        <v>203</v>
      </c>
      <c r="D122" s="9" t="s">
        <v>81</v>
      </c>
      <c r="E122" s="9" t="s">
        <v>108</v>
      </c>
      <c r="F122" s="9" t="s">
        <v>205</v>
      </c>
      <c r="G122" s="9" t="s">
        <v>123</v>
      </c>
      <c r="H122" s="126">
        <f t="shared" si="6"/>
        <v>0</v>
      </c>
      <c r="I122" s="107" t="s">
        <v>76</v>
      </c>
      <c r="J122" s="78"/>
      <c r="K122" s="121"/>
      <c r="L122" s="107"/>
      <c r="M122" s="107"/>
      <c r="N122" s="107" t="s">
        <v>76</v>
      </c>
      <c r="O122" s="6"/>
    </row>
    <row r="123" spans="1:15" s="25" customFormat="1" ht="12.75" hidden="1">
      <c r="A123" s="75" t="s">
        <v>226</v>
      </c>
      <c r="B123" s="58"/>
      <c r="C123" s="42" t="s">
        <v>23</v>
      </c>
      <c r="D123" s="42"/>
      <c r="E123" s="42"/>
      <c r="F123" s="42"/>
      <c r="G123" s="42"/>
      <c r="H123" s="125">
        <f t="shared" si="6"/>
        <v>0</v>
      </c>
      <c r="I123" s="119"/>
      <c r="J123" s="98"/>
      <c r="K123" s="97">
        <f>K124</f>
        <v>0</v>
      </c>
      <c r="L123" s="119"/>
      <c r="M123" s="119"/>
      <c r="N123" s="119"/>
      <c r="O123" s="6"/>
    </row>
    <row r="124" spans="1:15" s="25" customFormat="1" ht="12.75" hidden="1">
      <c r="A124" s="76" t="s">
        <v>227</v>
      </c>
      <c r="B124" s="57"/>
      <c r="C124" s="9" t="s">
        <v>23</v>
      </c>
      <c r="D124" s="9" t="s">
        <v>228</v>
      </c>
      <c r="E124" s="9" t="s">
        <v>157</v>
      </c>
      <c r="F124" s="9" t="s">
        <v>116</v>
      </c>
      <c r="G124" s="9" t="s">
        <v>115</v>
      </c>
      <c r="H124" s="129">
        <f t="shared" si="6"/>
        <v>0</v>
      </c>
      <c r="I124" s="107"/>
      <c r="J124" s="26"/>
      <c r="K124" s="78"/>
      <c r="L124" s="107"/>
      <c r="M124" s="107"/>
      <c r="N124" s="107"/>
      <c r="O124" s="6"/>
    </row>
    <row r="125" spans="1:15" s="25" customFormat="1" ht="12.75" hidden="1">
      <c r="A125" s="77" t="s">
        <v>231</v>
      </c>
      <c r="B125" s="58"/>
      <c r="C125" s="87" t="s">
        <v>230</v>
      </c>
      <c r="D125" s="53"/>
      <c r="E125" s="53"/>
      <c r="F125" s="53"/>
      <c r="G125" s="53"/>
      <c r="H125" s="124">
        <f>K125</f>
        <v>0</v>
      </c>
      <c r="I125" s="119"/>
      <c r="J125" s="97"/>
      <c r="K125" s="98">
        <f>K126</f>
        <v>0</v>
      </c>
      <c r="L125" s="119"/>
      <c r="M125" s="119"/>
      <c r="N125" s="119"/>
      <c r="O125" s="6"/>
    </row>
    <row r="126" spans="1:15" s="25" customFormat="1" ht="12.75" hidden="1">
      <c r="A126" s="22" t="s">
        <v>227</v>
      </c>
      <c r="B126" s="57"/>
      <c r="C126" s="9" t="s">
        <v>230</v>
      </c>
      <c r="D126" s="9" t="s">
        <v>81</v>
      </c>
      <c r="E126" s="9" t="s">
        <v>232</v>
      </c>
      <c r="F126" s="9" t="s">
        <v>116</v>
      </c>
      <c r="G126" s="9" t="s">
        <v>115</v>
      </c>
      <c r="H126" s="126">
        <f>K126</f>
        <v>0</v>
      </c>
      <c r="I126" s="107"/>
      <c r="J126" s="78"/>
      <c r="K126" s="26"/>
      <c r="L126" s="107"/>
      <c r="M126" s="107"/>
      <c r="N126" s="107"/>
      <c r="O126" s="6"/>
    </row>
    <row r="127" spans="1:15" s="25" customFormat="1" ht="29.25" customHeight="1">
      <c r="A127" s="681" t="s">
        <v>224</v>
      </c>
      <c r="B127" s="682"/>
      <c r="C127" s="27" t="s">
        <v>80</v>
      </c>
      <c r="D127" s="3"/>
      <c r="E127" s="3"/>
      <c r="F127" s="3"/>
      <c r="G127" s="3"/>
      <c r="H127" s="124">
        <f>N127</f>
        <v>30000</v>
      </c>
      <c r="I127" s="119"/>
      <c r="J127" s="119"/>
      <c r="K127" s="119"/>
      <c r="L127" s="119"/>
      <c r="M127" s="119"/>
      <c r="N127" s="97">
        <f>SUM(N128:N135)</f>
        <v>30000</v>
      </c>
      <c r="O127" s="6"/>
    </row>
    <row r="128" spans="1:15" s="25" customFormat="1" ht="13.5" customHeight="1" hidden="1">
      <c r="A128" s="45" t="s">
        <v>8</v>
      </c>
      <c r="B128" s="8"/>
      <c r="C128" s="9" t="s">
        <v>80</v>
      </c>
      <c r="D128" s="9" t="s">
        <v>81</v>
      </c>
      <c r="E128" s="9" t="s">
        <v>108</v>
      </c>
      <c r="F128" s="9" t="s">
        <v>128</v>
      </c>
      <c r="G128" s="9" t="s">
        <v>115</v>
      </c>
      <c r="H128" s="126">
        <f aca="true" t="shared" si="7" ref="H128:H134">N128</f>
        <v>0</v>
      </c>
      <c r="I128" s="107" t="s">
        <v>76</v>
      </c>
      <c r="J128" s="107" t="s">
        <v>76</v>
      </c>
      <c r="K128" s="107" t="s">
        <v>76</v>
      </c>
      <c r="L128" s="107" t="s">
        <v>76</v>
      </c>
      <c r="M128" s="107"/>
      <c r="N128" s="122"/>
      <c r="O128" s="6"/>
    </row>
    <row r="129" spans="1:15" s="25" customFormat="1" ht="13.5" customHeight="1" hidden="1">
      <c r="A129" s="22" t="s">
        <v>11</v>
      </c>
      <c r="B129" s="9"/>
      <c r="C129" s="9" t="s">
        <v>80</v>
      </c>
      <c r="D129" s="9" t="s">
        <v>81</v>
      </c>
      <c r="E129" s="9" t="s">
        <v>108</v>
      </c>
      <c r="F129" s="9" t="s">
        <v>121</v>
      </c>
      <c r="G129" s="9" t="s">
        <v>115</v>
      </c>
      <c r="H129" s="126">
        <f t="shared" si="7"/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/>
      <c r="N129" s="122"/>
      <c r="O129" s="6"/>
    </row>
    <row r="130" spans="1:15" s="25" customFormat="1" ht="13.5" customHeight="1" hidden="1">
      <c r="A130" s="22" t="s">
        <v>11</v>
      </c>
      <c r="B130" s="9"/>
      <c r="C130" s="9" t="s">
        <v>80</v>
      </c>
      <c r="D130" s="9" t="s">
        <v>81</v>
      </c>
      <c r="E130" s="9" t="s">
        <v>218</v>
      </c>
      <c r="F130" s="9" t="s">
        <v>121</v>
      </c>
      <c r="G130" s="9" t="s">
        <v>115</v>
      </c>
      <c r="H130" s="126">
        <f>N130</f>
        <v>0</v>
      </c>
      <c r="I130" s="107" t="s">
        <v>76</v>
      </c>
      <c r="J130" s="107" t="s">
        <v>76</v>
      </c>
      <c r="K130" s="107" t="s">
        <v>76</v>
      </c>
      <c r="L130" s="107" t="s">
        <v>76</v>
      </c>
      <c r="M130" s="107" t="s">
        <v>76</v>
      </c>
      <c r="N130" s="78"/>
      <c r="O130" s="6"/>
    </row>
    <row r="131" spans="1:15" s="25" customFormat="1" ht="13.5" customHeight="1" hidden="1">
      <c r="A131" s="22" t="s">
        <v>12</v>
      </c>
      <c r="B131" s="9"/>
      <c r="C131" s="9" t="s">
        <v>80</v>
      </c>
      <c r="D131" s="9" t="s">
        <v>81</v>
      </c>
      <c r="E131" s="9" t="s">
        <v>108</v>
      </c>
      <c r="F131" s="9" t="s">
        <v>116</v>
      </c>
      <c r="G131" s="9" t="s">
        <v>115</v>
      </c>
      <c r="H131" s="126">
        <f t="shared" si="7"/>
        <v>0</v>
      </c>
      <c r="I131" s="107" t="s">
        <v>76</v>
      </c>
      <c r="J131" s="107"/>
      <c r="K131" s="107" t="s">
        <v>76</v>
      </c>
      <c r="L131" s="107" t="s">
        <v>76</v>
      </c>
      <c r="M131" s="107"/>
      <c r="N131" s="139"/>
      <c r="O131" s="6"/>
    </row>
    <row r="132" spans="1:15" s="25" customFormat="1" ht="13.5" customHeight="1">
      <c r="A132" s="22" t="s">
        <v>12</v>
      </c>
      <c r="B132" s="9"/>
      <c r="C132" s="9" t="s">
        <v>80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>
        <f>N132</f>
        <v>30000</v>
      </c>
      <c r="I132" s="107" t="s">
        <v>76</v>
      </c>
      <c r="J132" s="107" t="s">
        <v>76</v>
      </c>
      <c r="K132" s="107" t="s">
        <v>76</v>
      </c>
      <c r="L132" s="107" t="s">
        <v>76</v>
      </c>
      <c r="M132" s="107" t="s">
        <v>76</v>
      </c>
      <c r="N132" s="78">
        <v>30000</v>
      </c>
      <c r="O132" s="6"/>
    </row>
    <row r="133" spans="1:15" s="25" customFormat="1" ht="13.5" customHeight="1" hidden="1">
      <c r="A133" s="22" t="s">
        <v>14</v>
      </c>
      <c r="B133" s="9"/>
      <c r="C133" s="9" t="s">
        <v>80</v>
      </c>
      <c r="D133" s="9" t="s">
        <v>81</v>
      </c>
      <c r="E133" s="9" t="s">
        <v>108</v>
      </c>
      <c r="F133" s="9" t="s">
        <v>118</v>
      </c>
      <c r="G133" s="9" t="s">
        <v>115</v>
      </c>
      <c r="H133" s="126">
        <f t="shared" si="7"/>
        <v>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/>
      <c r="N133" s="122"/>
      <c r="O133" s="6"/>
    </row>
    <row r="134" spans="1:15" s="25" customFormat="1" ht="13.5" customHeight="1" hidden="1">
      <c r="A134" s="22" t="s">
        <v>188</v>
      </c>
      <c r="B134" s="9"/>
      <c r="C134" s="9" t="s">
        <v>80</v>
      </c>
      <c r="D134" s="9" t="s">
        <v>81</v>
      </c>
      <c r="E134" s="9" t="s">
        <v>108</v>
      </c>
      <c r="F134" s="9" t="s">
        <v>119</v>
      </c>
      <c r="G134" s="9" t="s">
        <v>115</v>
      </c>
      <c r="H134" s="126">
        <f t="shared" si="7"/>
        <v>0</v>
      </c>
      <c r="I134" s="107" t="s">
        <v>76</v>
      </c>
      <c r="J134" s="107"/>
      <c r="K134" s="107" t="s">
        <v>76</v>
      </c>
      <c r="L134" s="107" t="s">
        <v>76</v>
      </c>
      <c r="M134" s="107"/>
      <c r="N134" s="99"/>
      <c r="O134" s="6"/>
    </row>
    <row r="135" spans="1:15" s="25" customFormat="1" ht="13.5" customHeight="1" hidden="1">
      <c r="A135" s="66" t="s">
        <v>221</v>
      </c>
      <c r="B135" s="66"/>
      <c r="C135" s="59" t="s">
        <v>80</v>
      </c>
      <c r="D135" s="59" t="s">
        <v>81</v>
      </c>
      <c r="E135" s="59" t="s">
        <v>218</v>
      </c>
      <c r="F135" s="59" t="s">
        <v>119</v>
      </c>
      <c r="G135" s="59" t="s">
        <v>115</v>
      </c>
      <c r="H135" s="127">
        <f>N135</f>
        <v>0</v>
      </c>
      <c r="I135" s="101" t="s">
        <v>76</v>
      </c>
      <c r="J135" s="123"/>
      <c r="K135" s="107" t="s">
        <v>76</v>
      </c>
      <c r="L135" s="123"/>
      <c r="M135" s="123"/>
      <c r="N135" s="78"/>
      <c r="O135" s="6"/>
    </row>
    <row r="136" spans="1:15" s="25" customFormat="1" ht="27">
      <c r="A136" s="96" t="s">
        <v>129</v>
      </c>
      <c r="B136" s="32" t="s">
        <v>130</v>
      </c>
      <c r="C136" s="33" t="s">
        <v>76</v>
      </c>
      <c r="D136" s="33" t="s">
        <v>76</v>
      </c>
      <c r="E136" s="33" t="s">
        <v>76</v>
      </c>
      <c r="F136" s="33" t="s">
        <v>76</v>
      </c>
      <c r="G136" s="33" t="s">
        <v>76</v>
      </c>
      <c r="H136" s="130">
        <f>I136+N136+K136</f>
        <v>16679700</v>
      </c>
      <c r="I136" s="130">
        <f>I51+I54+I80+I81+I52+I66</f>
        <v>16679700</v>
      </c>
      <c r="J136" s="130"/>
      <c r="K136" s="130">
        <f>K122</f>
        <v>0</v>
      </c>
      <c r="L136" s="134" t="s">
        <v>76</v>
      </c>
      <c r="M136" s="134" t="s">
        <v>76</v>
      </c>
      <c r="N136" s="130"/>
      <c r="O136" s="6" t="s">
        <v>76</v>
      </c>
    </row>
    <row r="137" spans="1:15" s="25" customFormat="1" ht="27">
      <c r="A137" s="96" t="s">
        <v>131</v>
      </c>
      <c r="B137" s="32" t="s">
        <v>132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H139+H138</f>
        <v>5327400</v>
      </c>
      <c r="I137" s="130">
        <f>I139+I138</f>
        <v>4516500</v>
      </c>
      <c r="J137" s="130">
        <f>J139+J138</f>
        <v>0</v>
      </c>
      <c r="K137" s="130">
        <f>K139+K138</f>
        <v>780900</v>
      </c>
      <c r="L137" s="134"/>
      <c r="M137" s="134"/>
      <c r="N137" s="130">
        <f>N139+N138</f>
        <v>30000</v>
      </c>
      <c r="O137" s="6"/>
    </row>
    <row r="138" spans="1:15" s="25" customFormat="1" ht="24" customHeight="1">
      <c r="A138" s="96" t="s">
        <v>133</v>
      </c>
      <c r="B138" s="32" t="s">
        <v>134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I138+N138+K138</f>
        <v>0</v>
      </c>
      <c r="I138" s="130"/>
      <c r="J138" s="130"/>
      <c r="K138" s="130">
        <v>0</v>
      </c>
      <c r="L138" s="134"/>
      <c r="M138" s="134"/>
      <c r="N138" s="130">
        <v>0</v>
      </c>
      <c r="O138" s="6"/>
    </row>
    <row r="139" spans="1:15" s="25" customFormat="1" ht="12.75" customHeight="1">
      <c r="A139" s="96" t="s">
        <v>135</v>
      </c>
      <c r="B139" s="32" t="s">
        <v>136</v>
      </c>
      <c r="C139" s="33" t="s">
        <v>76</v>
      </c>
      <c r="D139" s="33" t="s">
        <v>76</v>
      </c>
      <c r="E139" s="33" t="s">
        <v>76</v>
      </c>
      <c r="F139" s="33" t="s">
        <v>76</v>
      </c>
      <c r="G139" s="33" t="s">
        <v>76</v>
      </c>
      <c r="H139" s="130">
        <f>I139+N139+K139</f>
        <v>5327400</v>
      </c>
      <c r="I139" s="130">
        <f>I56+I61+I62+I63+I64+I67+I72+I73+I75+I76+I77+I78+I79+I90+I85+I86+I68+I69+I70+I71+I87</f>
        <v>4516500</v>
      </c>
      <c r="J139" s="130"/>
      <c r="K139" s="130">
        <f>K94+K98+K119+K120+K107+K108+K109+K112+K114+K101+K102+K103+K104+K100+K124+K126+K111</f>
        <v>780900</v>
      </c>
      <c r="L139" s="134" t="s">
        <v>76</v>
      </c>
      <c r="M139" s="134" t="s">
        <v>76</v>
      </c>
      <c r="N139" s="130">
        <f>N128+N129+N131+N133+N134+N130+N132+N135</f>
        <v>30000</v>
      </c>
      <c r="O139" s="6" t="s">
        <v>76</v>
      </c>
    </row>
    <row r="140" spans="1:15" s="25" customFormat="1" ht="13.5" hidden="1">
      <c r="A140" s="8" t="s">
        <v>137</v>
      </c>
      <c r="B140" s="9" t="s">
        <v>138</v>
      </c>
      <c r="C140" s="34" t="s">
        <v>76</v>
      </c>
      <c r="D140" s="34" t="s">
        <v>76</v>
      </c>
      <c r="E140" s="34" t="s">
        <v>76</v>
      </c>
      <c r="F140" s="34" t="s">
        <v>76</v>
      </c>
      <c r="G140" s="34" t="s">
        <v>76</v>
      </c>
      <c r="H140" s="126">
        <f>I140+N140</f>
        <v>0</v>
      </c>
      <c r="I140" s="126">
        <v>0</v>
      </c>
      <c r="J140" s="126"/>
      <c r="K140" s="126"/>
      <c r="L140" s="135" t="s">
        <v>76</v>
      </c>
      <c r="M140" s="135" t="s">
        <v>76</v>
      </c>
      <c r="N140" s="126">
        <v>0</v>
      </c>
      <c r="O140" s="6" t="s">
        <v>76</v>
      </c>
    </row>
    <row r="141" spans="1:15" s="25" customFormat="1" ht="13.5" hidden="1">
      <c r="A141" s="20" t="s">
        <v>139</v>
      </c>
      <c r="B141" s="9" t="s">
        <v>118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140</v>
      </c>
      <c r="B142" s="9" t="s">
        <v>141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142</v>
      </c>
      <c r="B143" s="9" t="s">
        <v>143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144</v>
      </c>
      <c r="B144" s="9" t="s">
        <v>145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20" t="s">
        <v>146</v>
      </c>
      <c r="B145" s="9" t="s">
        <v>147</v>
      </c>
      <c r="C145" s="34" t="s">
        <v>76</v>
      </c>
      <c r="D145" s="34" t="s">
        <v>76</v>
      </c>
      <c r="E145" s="34" t="s">
        <v>76</v>
      </c>
      <c r="F145" s="34" t="s">
        <v>76</v>
      </c>
      <c r="G145" s="34" t="s">
        <v>76</v>
      </c>
      <c r="H145" s="126">
        <v>0</v>
      </c>
      <c r="I145" s="126">
        <v>0</v>
      </c>
      <c r="J145" s="126"/>
      <c r="K145" s="126"/>
      <c r="L145" s="135" t="s">
        <v>76</v>
      </c>
      <c r="M145" s="135" t="s">
        <v>76</v>
      </c>
      <c r="N145" s="126">
        <v>0</v>
      </c>
      <c r="O145" s="6" t="s">
        <v>76</v>
      </c>
    </row>
    <row r="146" spans="1:15" s="25" customFormat="1" ht="13.5" hidden="1">
      <c r="A146" s="48" t="s">
        <v>137</v>
      </c>
      <c r="B146" s="49" t="s">
        <v>138</v>
      </c>
      <c r="C146" s="50" t="s">
        <v>173</v>
      </c>
      <c r="D146" s="49" t="s">
        <v>81</v>
      </c>
      <c r="E146" s="50" t="s">
        <v>174</v>
      </c>
      <c r="F146" s="50" t="s">
        <v>174</v>
      </c>
      <c r="G146" s="50" t="s">
        <v>175</v>
      </c>
      <c r="H146" s="132"/>
      <c r="I146" s="136"/>
      <c r="J146" s="136"/>
      <c r="K146" s="136"/>
      <c r="L146" s="137"/>
      <c r="M146" s="137"/>
      <c r="N146" s="136"/>
      <c r="O146" s="6"/>
    </row>
    <row r="147" spans="1:15" s="25" customFormat="1" ht="13.5" hidden="1">
      <c r="A147" s="51" t="s">
        <v>142</v>
      </c>
      <c r="B147" s="49" t="s">
        <v>143</v>
      </c>
      <c r="C147" s="50" t="s">
        <v>173</v>
      </c>
      <c r="D147" s="49" t="s">
        <v>81</v>
      </c>
      <c r="E147" s="50" t="s">
        <v>174</v>
      </c>
      <c r="F147" s="50" t="s">
        <v>174</v>
      </c>
      <c r="G147" s="50" t="s">
        <v>176</v>
      </c>
      <c r="H147" s="132"/>
      <c r="I147" s="136"/>
      <c r="J147" s="136"/>
      <c r="K147" s="136"/>
      <c r="L147" s="137"/>
      <c r="M147" s="137"/>
      <c r="N147" s="136"/>
      <c r="O147" s="6"/>
    </row>
    <row r="148" spans="1:15" s="25" customFormat="1" ht="13.5">
      <c r="A148" s="35" t="s">
        <v>148</v>
      </c>
      <c r="B148" s="36" t="s">
        <v>149</v>
      </c>
      <c r="C148" s="37" t="s">
        <v>76</v>
      </c>
      <c r="D148" s="37" t="s">
        <v>76</v>
      </c>
      <c r="E148" s="37" t="s">
        <v>76</v>
      </c>
      <c r="F148" s="37" t="s">
        <v>76</v>
      </c>
      <c r="G148" s="37" t="s">
        <v>76</v>
      </c>
      <c r="H148" s="133">
        <f>I148+K148+N148</f>
        <v>0</v>
      </c>
      <c r="I148" s="133">
        <v>0</v>
      </c>
      <c r="J148" s="133"/>
      <c r="K148" s="133"/>
      <c r="L148" s="138" t="s">
        <v>76</v>
      </c>
      <c r="M148" s="138" t="s">
        <v>76</v>
      </c>
      <c r="N148" s="133"/>
      <c r="O148" s="6" t="s">
        <v>76</v>
      </c>
    </row>
    <row r="149" spans="1:15" s="25" customFormat="1" ht="13.5">
      <c r="A149" s="20" t="s">
        <v>150</v>
      </c>
      <c r="B149" s="9" t="s">
        <v>151</v>
      </c>
      <c r="C149" s="34" t="s">
        <v>76</v>
      </c>
      <c r="D149" s="34" t="s">
        <v>76</v>
      </c>
      <c r="E149" s="34" t="s">
        <v>76</v>
      </c>
      <c r="F149" s="34" t="s">
        <v>76</v>
      </c>
      <c r="G149" s="34" t="s">
        <v>76</v>
      </c>
      <c r="H149" s="126">
        <v>0</v>
      </c>
      <c r="I149" s="126">
        <v>0</v>
      </c>
      <c r="J149" s="126"/>
      <c r="K149" s="126"/>
      <c r="L149" s="135" t="s">
        <v>76</v>
      </c>
      <c r="M149" s="135" t="s">
        <v>76</v>
      </c>
      <c r="N149" s="126">
        <v>0</v>
      </c>
      <c r="O149" s="6" t="s">
        <v>76</v>
      </c>
    </row>
    <row r="151" ht="12.75">
      <c r="A151" s="88" t="s">
        <v>271</v>
      </c>
    </row>
    <row r="152" ht="12.75">
      <c r="A152" s="88"/>
    </row>
    <row r="153" ht="19.5" customHeight="1">
      <c r="A153" s="88" t="s">
        <v>17</v>
      </c>
    </row>
    <row r="154" ht="12.75">
      <c r="A154" s="88" t="s">
        <v>272</v>
      </c>
    </row>
    <row r="155" ht="12.75">
      <c r="A155" s="88"/>
    </row>
    <row r="156" ht="13.5" customHeight="1">
      <c r="A156" s="89"/>
    </row>
    <row r="157" ht="13.5" customHeight="1">
      <c r="A157" s="89"/>
    </row>
    <row r="158" ht="12.7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  <row r="164" ht="12.75" customHeight="1">
      <c r="A164" s="89"/>
    </row>
  </sheetData>
  <sheetProtection/>
  <mergeCells count="80">
    <mergeCell ref="A127:B127"/>
    <mergeCell ref="A99:B99"/>
    <mergeCell ref="A105:B105"/>
    <mergeCell ref="A107:A109"/>
    <mergeCell ref="A113:B113"/>
    <mergeCell ref="A116:B116"/>
    <mergeCell ref="A118:B118"/>
    <mergeCell ref="G107:G109"/>
    <mergeCell ref="A111:A112"/>
    <mergeCell ref="C111:C112"/>
    <mergeCell ref="E111:E112"/>
    <mergeCell ref="F111:F112"/>
    <mergeCell ref="G111:G112"/>
    <mergeCell ref="E107:E109"/>
    <mergeCell ref="C107:C109"/>
    <mergeCell ref="F107:F109"/>
    <mergeCell ref="G76:G77"/>
    <mergeCell ref="A78:A79"/>
    <mergeCell ref="C78:C79"/>
    <mergeCell ref="E78:E79"/>
    <mergeCell ref="F78:F79"/>
    <mergeCell ref="G78:G79"/>
    <mergeCell ref="F76:F77"/>
    <mergeCell ref="G63:G64"/>
    <mergeCell ref="A95:B95"/>
    <mergeCell ref="A63:A64"/>
    <mergeCell ref="C63:C64"/>
    <mergeCell ref="E63:E64"/>
    <mergeCell ref="A91:B91"/>
    <mergeCell ref="A74:B74"/>
    <mergeCell ref="A76:A77"/>
    <mergeCell ref="C76:C77"/>
    <mergeCell ref="E76:E77"/>
    <mergeCell ref="A72:A73"/>
    <mergeCell ref="C72:C73"/>
    <mergeCell ref="E72:E73"/>
    <mergeCell ref="F72:F73"/>
    <mergeCell ref="A56:A61"/>
    <mergeCell ref="C56:C61"/>
    <mergeCell ref="F56:F61"/>
    <mergeCell ref="E67:E68"/>
    <mergeCell ref="G72:G73"/>
    <mergeCell ref="F63:F64"/>
    <mergeCell ref="A30:A34"/>
    <mergeCell ref="F30:F34"/>
    <mergeCell ref="A35:A37"/>
    <mergeCell ref="C35:C37"/>
    <mergeCell ref="F35:F37"/>
    <mergeCell ref="A40:A41"/>
    <mergeCell ref="C40:C41"/>
    <mergeCell ref="F40:F41"/>
    <mergeCell ref="A50:B50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H4:O4"/>
    <mergeCell ref="H5:H6"/>
    <mergeCell ref="I5:O5"/>
    <mergeCell ref="N6:O6"/>
    <mergeCell ref="F18:F22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zoomScalePageLayoutView="0" workbookViewId="0" topLeftCell="A63">
      <selection activeCell="A99" sqref="A99:B99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283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2.75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22007100</v>
      </c>
      <c r="I9" s="124">
        <f>I15</f>
        <v>21196200</v>
      </c>
      <c r="J9" s="124"/>
      <c r="K9" s="124">
        <f>K23</f>
        <v>780900</v>
      </c>
      <c r="L9" s="125" t="s">
        <v>76</v>
      </c>
      <c r="M9" s="125" t="s">
        <v>76</v>
      </c>
      <c r="N9" s="124">
        <f>N10</f>
        <v>30000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30000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30000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 hidden="1">
      <c r="A14" s="8" t="s">
        <v>83</v>
      </c>
      <c r="B14" s="695"/>
      <c r="C14" s="9" t="s">
        <v>80</v>
      </c>
      <c r="D14" s="9" t="s">
        <v>81</v>
      </c>
      <c r="E14" s="9"/>
      <c r="F14" s="9" t="s">
        <v>208</v>
      </c>
      <c r="G14" s="9"/>
      <c r="H14" s="126">
        <f>N14</f>
        <v>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/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21196200</v>
      </c>
      <c r="I15" s="100">
        <f>I16+I18+I19+I17+I22</f>
        <v>21196200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103"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1543600</v>
      </c>
      <c r="I18" s="103">
        <v>1543600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780900</v>
      </c>
      <c r="I23" s="102" t="s">
        <v>76</v>
      </c>
      <c r="J23" s="100"/>
      <c r="K23" s="100">
        <f>SUM(K24:K43)</f>
        <v>780900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74" t="s">
        <v>89</v>
      </c>
      <c r="E24" s="62"/>
      <c r="F24" s="345" t="s">
        <v>284</v>
      </c>
      <c r="G24" s="62"/>
      <c r="H24" s="128">
        <f>K24</f>
        <v>676900</v>
      </c>
      <c r="I24" s="101" t="s">
        <v>76</v>
      </c>
      <c r="J24" s="104"/>
      <c r="K24" s="105">
        <v>676900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313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313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345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2" t="s">
        <v>81</v>
      </c>
      <c r="E28" s="59"/>
      <c r="F28" s="345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320" t="s">
        <v>280</v>
      </c>
      <c r="B29" s="62"/>
      <c r="C29" s="63" t="s">
        <v>50</v>
      </c>
      <c r="D29" s="6" t="s">
        <v>81</v>
      </c>
      <c r="E29" s="321"/>
      <c r="F29" s="346" t="s">
        <v>284</v>
      </c>
      <c r="G29" s="9"/>
      <c r="H29" s="126">
        <f>K29</f>
        <v>80000</v>
      </c>
      <c r="I29" s="107"/>
      <c r="J29" s="322"/>
      <c r="K29" s="109">
        <v>80000</v>
      </c>
      <c r="L29" s="323"/>
      <c r="M29" s="323"/>
      <c r="N29" s="107"/>
      <c r="O29" s="7"/>
    </row>
    <row r="30" spans="1:15" ht="55.5" customHeight="1" hidden="1">
      <c r="A30" s="699" t="s">
        <v>48</v>
      </c>
      <c r="B30" s="62"/>
      <c r="C30" s="63" t="s">
        <v>50</v>
      </c>
      <c r="D30" s="6" t="s">
        <v>81</v>
      </c>
      <c r="E30" s="324"/>
      <c r="F30" s="693" t="s">
        <v>209</v>
      </c>
      <c r="G30" s="9"/>
      <c r="I30" s="107" t="s">
        <v>76</v>
      </c>
      <c r="J30" s="108"/>
      <c r="K30" s="310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59" t="s">
        <v>212</v>
      </c>
      <c r="E31" s="59"/>
      <c r="F31" s="697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59" t="s">
        <v>214</v>
      </c>
      <c r="E32" s="59"/>
      <c r="F32" s="697"/>
      <c r="G32" s="9"/>
      <c r="H32" s="126">
        <f aca="true" t="shared" si="1" ref="H32:H43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59" t="s">
        <v>215</v>
      </c>
      <c r="E33" s="59"/>
      <c r="F33" s="697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59" t="s">
        <v>216</v>
      </c>
      <c r="E34" s="5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 t="s">
        <v>155</v>
      </c>
      <c r="B35" s="62"/>
      <c r="C35" s="698" t="s">
        <v>51</v>
      </c>
      <c r="D35" s="62" t="s">
        <v>81</v>
      </c>
      <c r="E35" s="59"/>
      <c r="F35" s="693" t="s">
        <v>209</v>
      </c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59" t="s">
        <v>196</v>
      </c>
      <c r="E36" s="59"/>
      <c r="F36" s="697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hidden="1">
      <c r="A37" s="711"/>
      <c r="B37" s="62"/>
      <c r="C37" s="698"/>
      <c r="D37" s="62" t="s">
        <v>166</v>
      </c>
      <c r="E37" s="59"/>
      <c r="F37" s="694"/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63.75" hidden="1">
      <c r="A38" s="65" t="s">
        <v>43</v>
      </c>
      <c r="B38" s="66"/>
      <c r="C38" s="61" t="s">
        <v>42</v>
      </c>
      <c r="D38" s="62" t="s">
        <v>162</v>
      </c>
      <c r="E38" s="59"/>
      <c r="F38" s="6" t="s">
        <v>209</v>
      </c>
      <c r="G38" s="9"/>
      <c r="H38" s="126">
        <f t="shared" si="1"/>
        <v>0</v>
      </c>
      <c r="I38" s="107" t="s">
        <v>76</v>
      </c>
      <c r="J38" s="78"/>
      <c r="K38" s="78"/>
      <c r="L38" s="26"/>
      <c r="M38" s="26"/>
      <c r="N38" s="107" t="s">
        <v>76</v>
      </c>
      <c r="O38" s="7"/>
    </row>
    <row r="39" spans="1:15" ht="25.5" hidden="1">
      <c r="A39" s="65" t="s">
        <v>225</v>
      </c>
      <c r="B39" s="66"/>
      <c r="C39" s="59" t="s">
        <v>203</v>
      </c>
      <c r="D39" s="59" t="s">
        <v>81</v>
      </c>
      <c r="E39" s="59"/>
      <c r="F39" s="6" t="s">
        <v>209</v>
      </c>
      <c r="G39" s="9"/>
      <c r="H39" s="126">
        <f t="shared" si="1"/>
        <v>0</v>
      </c>
      <c r="I39" s="107" t="s">
        <v>76</v>
      </c>
      <c r="J39" s="78"/>
      <c r="K39" s="78"/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15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22007100</v>
      </c>
      <c r="I44" s="130">
        <f>I50+I74+I91</f>
        <v>21196200</v>
      </c>
      <c r="J44" s="130"/>
      <c r="K44" s="130">
        <f>K91+K95+K97+K105+K113+K116+K118+K99+K121+K123+K125</f>
        <v>780900</v>
      </c>
      <c r="L44" s="130"/>
      <c r="M44" s="130"/>
      <c r="N44" s="130">
        <f>N127</f>
        <v>30000</v>
      </c>
      <c r="O44" s="95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727" t="s">
        <v>12</v>
      </c>
      <c r="B63" s="313"/>
      <c r="C63" s="725" t="s">
        <v>18</v>
      </c>
      <c r="D63" s="313" t="s">
        <v>81</v>
      </c>
      <c r="E63" s="725" t="s">
        <v>108</v>
      </c>
      <c r="F63" s="725" t="s">
        <v>116</v>
      </c>
      <c r="G63" s="725" t="s">
        <v>115</v>
      </c>
      <c r="H63" s="314">
        <f t="shared" si="2"/>
        <v>272300</v>
      </c>
      <c r="I63" s="343">
        <f>216300+56000</f>
        <v>272300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728"/>
      <c r="B64" s="313"/>
      <c r="C64" s="726"/>
      <c r="D64" s="344">
        <v>14130030000000000</v>
      </c>
      <c r="E64" s="726"/>
      <c r="F64" s="726"/>
      <c r="G64" s="726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 t="s">
        <v>109</v>
      </c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0</v>
      </c>
      <c r="I68" s="113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20000</v>
      </c>
      <c r="I70" s="79">
        <v>20000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85" t="s">
        <v>243</v>
      </c>
      <c r="B71" s="57"/>
      <c r="C71" s="9" t="s">
        <v>18</v>
      </c>
      <c r="D71" s="14">
        <v>14130030000000000</v>
      </c>
      <c r="E71" s="9" t="s">
        <v>108</v>
      </c>
      <c r="F71" s="9" t="s">
        <v>244</v>
      </c>
      <c r="G71" s="9" t="s">
        <v>115</v>
      </c>
      <c r="H71" s="126">
        <f t="shared" si="2"/>
        <v>20000</v>
      </c>
      <c r="I71" s="79">
        <v>20000</v>
      </c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4098400</v>
      </c>
      <c r="I74" s="97">
        <f>SUM(I75:I90)</f>
        <v>4098400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22" t="s">
        <v>9</v>
      </c>
      <c r="B75" s="9"/>
      <c r="C75" s="9" t="s">
        <v>20</v>
      </c>
      <c r="D75" s="9" t="s">
        <v>81</v>
      </c>
      <c r="E75" s="9" t="s">
        <v>108</v>
      </c>
      <c r="F75" s="9" t="s">
        <v>120</v>
      </c>
      <c r="G75" s="9" t="s">
        <v>115</v>
      </c>
      <c r="H75" s="126">
        <f>I75</f>
        <v>1083500</v>
      </c>
      <c r="I75" s="78">
        <v>1083500</v>
      </c>
      <c r="J75" s="100"/>
      <c r="K75" s="101" t="s">
        <v>76</v>
      </c>
      <c r="L75" s="101" t="s">
        <v>76</v>
      </c>
      <c r="M75" s="101" t="s">
        <v>76</v>
      </c>
      <c r="N75" s="101" t="s">
        <v>76</v>
      </c>
      <c r="O75" s="6" t="s">
        <v>76</v>
      </c>
    </row>
    <row r="76" spans="1:15" s="25" customFormat="1" ht="11.25" customHeight="1">
      <c r="A76" s="691" t="s">
        <v>11</v>
      </c>
      <c r="B76" s="9"/>
      <c r="C76" s="693" t="s">
        <v>20</v>
      </c>
      <c r="D76" s="9" t="s">
        <v>81</v>
      </c>
      <c r="E76" s="693" t="s">
        <v>108</v>
      </c>
      <c r="F76" s="693" t="s">
        <v>121</v>
      </c>
      <c r="G76" s="693" t="s">
        <v>115</v>
      </c>
      <c r="H76" s="126">
        <f aca="true" t="shared" si="3" ref="H76:H90">I76</f>
        <v>246900</v>
      </c>
      <c r="I76" s="112">
        <v>246900</v>
      </c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 t="s">
        <v>76</v>
      </c>
    </row>
    <row r="77" spans="1:15" s="25" customFormat="1" ht="12.75">
      <c r="A77" s="692"/>
      <c r="B77" s="9"/>
      <c r="C77" s="694"/>
      <c r="D77" s="14">
        <v>14130030000000000</v>
      </c>
      <c r="E77" s="694"/>
      <c r="F77" s="694"/>
      <c r="G77" s="694"/>
      <c r="H77" s="126">
        <f t="shared" si="3"/>
        <v>2020000</v>
      </c>
      <c r="I77" s="112">
        <v>2020000</v>
      </c>
      <c r="J77" s="114"/>
      <c r="K77" s="101" t="s">
        <v>76</v>
      </c>
      <c r="L77" s="101"/>
      <c r="M77" s="101"/>
      <c r="N77" s="101" t="s">
        <v>76</v>
      </c>
      <c r="O77" s="6"/>
    </row>
    <row r="78" spans="1:15" s="25" customFormat="1" ht="12.75">
      <c r="A78" s="691" t="s">
        <v>12</v>
      </c>
      <c r="B78" s="9"/>
      <c r="C78" s="693" t="s">
        <v>20</v>
      </c>
      <c r="D78" s="9" t="s">
        <v>81</v>
      </c>
      <c r="E78" s="693" t="s">
        <v>108</v>
      </c>
      <c r="F78" s="693" t="s">
        <v>116</v>
      </c>
      <c r="G78" s="693" t="s">
        <v>115</v>
      </c>
      <c r="H78" s="126">
        <f t="shared" si="3"/>
        <v>99900</v>
      </c>
      <c r="I78" s="78">
        <v>99900</v>
      </c>
      <c r="J78" s="78"/>
      <c r="K78" s="107" t="s">
        <v>76</v>
      </c>
      <c r="L78" s="107" t="s">
        <v>76</v>
      </c>
      <c r="M78" s="107" t="s">
        <v>76</v>
      </c>
      <c r="N78" s="107" t="s">
        <v>76</v>
      </c>
      <c r="O78" s="6" t="s">
        <v>76</v>
      </c>
    </row>
    <row r="79" spans="1:15" s="25" customFormat="1" ht="12.75">
      <c r="A79" s="692"/>
      <c r="B79" s="9"/>
      <c r="C79" s="694"/>
      <c r="D79" s="14">
        <v>14130030000000000</v>
      </c>
      <c r="E79" s="694"/>
      <c r="F79" s="694"/>
      <c r="G79" s="694"/>
      <c r="H79" s="126">
        <f t="shared" si="3"/>
        <v>534800</v>
      </c>
      <c r="I79" s="115">
        <v>534800</v>
      </c>
      <c r="J79" s="78"/>
      <c r="K79" s="107" t="s">
        <v>76</v>
      </c>
      <c r="L79" s="107"/>
      <c r="M79" s="107"/>
      <c r="N79" s="107" t="s">
        <v>76</v>
      </c>
      <c r="O79" s="6"/>
    </row>
    <row r="80" spans="1:15" s="25" customFormat="1" ht="12.75">
      <c r="A80" s="22" t="s">
        <v>249</v>
      </c>
      <c r="B80" s="9"/>
      <c r="C80" s="9" t="s">
        <v>20</v>
      </c>
      <c r="D80" s="9" t="s">
        <v>81</v>
      </c>
      <c r="E80" s="9" t="s">
        <v>108</v>
      </c>
      <c r="F80" s="9" t="s">
        <v>206</v>
      </c>
      <c r="G80" s="9" t="s">
        <v>122</v>
      </c>
      <c r="H80" s="126">
        <f t="shared" si="3"/>
        <v>55400</v>
      </c>
      <c r="I80" s="78">
        <v>55400</v>
      </c>
      <c r="J80" s="78"/>
      <c r="K80" s="107" t="s">
        <v>76</v>
      </c>
      <c r="L80" s="107" t="s">
        <v>76</v>
      </c>
      <c r="M80" s="107" t="s">
        <v>76</v>
      </c>
      <c r="N80" s="107" t="s">
        <v>76</v>
      </c>
      <c r="O80" s="6" t="s">
        <v>76</v>
      </c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250</v>
      </c>
      <c r="H81" s="126">
        <f t="shared" si="3"/>
        <v>4800</v>
      </c>
      <c r="I81" s="79">
        <v>4800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 hidden="1">
      <c r="A82" s="22" t="s">
        <v>14</v>
      </c>
      <c r="B82" s="9"/>
      <c r="C82" s="9" t="s">
        <v>20</v>
      </c>
      <c r="D82" s="9" t="s">
        <v>81</v>
      </c>
      <c r="E82" s="9" t="s">
        <v>124</v>
      </c>
      <c r="F82" s="9" t="s">
        <v>118</v>
      </c>
      <c r="G82" s="9" t="s">
        <v>115</v>
      </c>
      <c r="H82" s="126">
        <f t="shared" si="3"/>
        <v>0</v>
      </c>
      <c r="I82" s="78"/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51" hidden="1">
      <c r="A83" s="82" t="s">
        <v>237</v>
      </c>
      <c r="B83" s="9"/>
      <c r="C83" s="83" t="s">
        <v>18</v>
      </c>
      <c r="D83" s="9" t="s">
        <v>81</v>
      </c>
      <c r="E83" s="83" t="s">
        <v>124</v>
      </c>
      <c r="F83" s="84" t="s">
        <v>238</v>
      </c>
      <c r="G83" s="84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/>
    </row>
    <row r="84" spans="1:15" s="25" customFormat="1" ht="38.25" hidden="1">
      <c r="A84" s="82" t="s">
        <v>239</v>
      </c>
      <c r="B84" s="9"/>
      <c r="C84" s="83" t="s">
        <v>18</v>
      </c>
      <c r="D84" s="9" t="s">
        <v>81</v>
      </c>
      <c r="E84" s="83" t="s">
        <v>124</v>
      </c>
      <c r="F84" s="84" t="s">
        <v>240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25.5">
      <c r="A85" s="85" t="s">
        <v>248</v>
      </c>
      <c r="B85" s="9"/>
      <c r="C85" s="9" t="s">
        <v>20</v>
      </c>
      <c r="D85" s="9" t="s">
        <v>81</v>
      </c>
      <c r="E85" s="83" t="s">
        <v>108</v>
      </c>
      <c r="F85" s="10" t="s">
        <v>247</v>
      </c>
      <c r="G85" s="84" t="s">
        <v>115</v>
      </c>
      <c r="H85" s="126">
        <f t="shared" si="3"/>
        <v>10000</v>
      </c>
      <c r="I85" s="78">
        <v>10000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22" t="s">
        <v>241</v>
      </c>
      <c r="B86" s="9"/>
      <c r="C86" s="9" t="s">
        <v>20</v>
      </c>
      <c r="D86" s="9" t="s">
        <v>81</v>
      </c>
      <c r="E86" s="9" t="s">
        <v>108</v>
      </c>
      <c r="F86" s="9" t="s">
        <v>242</v>
      </c>
      <c r="G86" s="9" t="s">
        <v>115</v>
      </c>
      <c r="H86" s="126">
        <f t="shared" si="3"/>
        <v>33100</v>
      </c>
      <c r="I86" s="78">
        <v>33100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25.5">
      <c r="A87" s="85" t="s">
        <v>243</v>
      </c>
      <c r="B87" s="57"/>
      <c r="C87" s="9" t="s">
        <v>20</v>
      </c>
      <c r="D87" s="9" t="s">
        <v>81</v>
      </c>
      <c r="E87" s="9" t="s">
        <v>108</v>
      </c>
      <c r="F87" s="9" t="s">
        <v>244</v>
      </c>
      <c r="G87" s="9" t="s">
        <v>115</v>
      </c>
      <c r="H87" s="126">
        <f t="shared" si="3"/>
        <v>10000</v>
      </c>
      <c r="I87" s="78">
        <v>10000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12.75" hidden="1">
      <c r="A88" s="22"/>
      <c r="B88" s="9"/>
      <c r="C88" s="9"/>
      <c r="D88" s="9"/>
      <c r="E88" s="9"/>
      <c r="F88" s="9"/>
      <c r="G88" s="9"/>
      <c r="H88" s="126"/>
      <c r="I88" s="78"/>
      <c r="J88" s="78"/>
      <c r="K88" s="107"/>
      <c r="L88" s="107"/>
      <c r="M88" s="107"/>
      <c r="N88" s="107"/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 t="s">
        <v>188</v>
      </c>
      <c r="B90" s="9"/>
      <c r="C90" s="9" t="s">
        <v>20</v>
      </c>
      <c r="D90" s="9" t="s">
        <v>81</v>
      </c>
      <c r="E90" s="9" t="s">
        <v>108</v>
      </c>
      <c r="F90" s="9" t="s">
        <v>119</v>
      </c>
      <c r="G90" s="9" t="s">
        <v>115</v>
      </c>
      <c r="H90" s="126">
        <f t="shared" si="3"/>
        <v>0</v>
      </c>
      <c r="I90" s="78"/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 t="s">
        <v>76</v>
      </c>
    </row>
    <row r="91" spans="1:15" s="25" customFormat="1" ht="13.5">
      <c r="A91" s="681" t="s">
        <v>125</v>
      </c>
      <c r="B91" s="683"/>
      <c r="C91" s="27" t="s">
        <v>21</v>
      </c>
      <c r="D91" s="3"/>
      <c r="E91" s="27"/>
      <c r="F91" s="3"/>
      <c r="G91" s="3"/>
      <c r="H91" s="124">
        <f>K91</f>
        <v>676900</v>
      </c>
      <c r="I91" s="98"/>
      <c r="J91" s="97"/>
      <c r="K91" s="97">
        <f>K94</f>
        <v>676900</v>
      </c>
      <c r="L91" s="110"/>
      <c r="M91" s="110"/>
      <c r="N91" s="111" t="s">
        <v>107</v>
      </c>
      <c r="O91" s="28"/>
    </row>
    <row r="92" spans="1:15" s="25" customFormat="1" ht="12.75" hidden="1">
      <c r="A92" s="22" t="s">
        <v>4</v>
      </c>
      <c r="B92" s="9"/>
      <c r="C92" s="9"/>
      <c r="D92" s="9"/>
      <c r="E92" s="9"/>
      <c r="F92" s="9" t="s">
        <v>99</v>
      </c>
      <c r="G92" s="9" t="s">
        <v>109</v>
      </c>
      <c r="H92" s="126">
        <f>I92</f>
        <v>0</v>
      </c>
      <c r="I92" s="78"/>
      <c r="J92" s="78"/>
      <c r="K92" s="116" t="s">
        <v>76</v>
      </c>
      <c r="L92" s="107" t="s">
        <v>76</v>
      </c>
      <c r="M92" s="107" t="s">
        <v>76</v>
      </c>
      <c r="N92" s="107" t="s">
        <v>76</v>
      </c>
      <c r="O92" s="6" t="s">
        <v>76</v>
      </c>
    </row>
    <row r="93" spans="1:15" s="25" customFormat="1" ht="12.75" hidden="1">
      <c r="A93" s="22" t="s">
        <v>5</v>
      </c>
      <c r="B93" s="9"/>
      <c r="C93" s="9"/>
      <c r="D93" s="9"/>
      <c r="E93" s="9"/>
      <c r="F93" s="9"/>
      <c r="G93" s="9"/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3.5">
      <c r="A94" s="22" t="s">
        <v>12</v>
      </c>
      <c r="B94" s="9"/>
      <c r="C94" s="41" t="s">
        <v>21</v>
      </c>
      <c r="D94" s="9" t="s">
        <v>89</v>
      </c>
      <c r="E94" s="9" t="s">
        <v>126</v>
      </c>
      <c r="F94" s="9" t="s">
        <v>116</v>
      </c>
      <c r="G94" s="9" t="s">
        <v>115</v>
      </c>
      <c r="H94" s="126">
        <f aca="true" t="shared" si="4" ref="H94:H104">K94</f>
        <v>676900</v>
      </c>
      <c r="I94" s="107" t="s">
        <v>76</v>
      </c>
      <c r="J94" s="78"/>
      <c r="K94" s="105">
        <v>676900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8.75" customHeight="1" hidden="1">
      <c r="A95" s="687" t="s">
        <v>127</v>
      </c>
      <c r="B95" s="688"/>
      <c r="C95" s="27" t="s">
        <v>22</v>
      </c>
      <c r="D95" s="3"/>
      <c r="E95" s="3"/>
      <c r="F95" s="3"/>
      <c r="G95" s="3"/>
      <c r="H95" s="131">
        <f t="shared" si="4"/>
        <v>0</v>
      </c>
      <c r="I95" s="117"/>
      <c r="J95" s="110"/>
      <c r="K95" s="118">
        <f>K96</f>
        <v>0</v>
      </c>
      <c r="L95" s="117"/>
      <c r="M95" s="117"/>
      <c r="N95" s="117"/>
      <c r="O95" s="6"/>
    </row>
    <row r="96" spans="1:15" s="25" customFormat="1" ht="13.5" customHeight="1" hidden="1">
      <c r="A96" s="22" t="s">
        <v>12</v>
      </c>
      <c r="B96" s="40"/>
      <c r="C96" s="41" t="s">
        <v>22</v>
      </c>
      <c r="D96" s="9" t="s">
        <v>81</v>
      </c>
      <c r="E96" s="9" t="s">
        <v>108</v>
      </c>
      <c r="F96" s="9" t="s">
        <v>116</v>
      </c>
      <c r="G96" s="9" t="s">
        <v>115</v>
      </c>
      <c r="H96" s="126">
        <f t="shared" si="4"/>
        <v>0</v>
      </c>
      <c r="I96" s="107" t="s">
        <v>76</v>
      </c>
      <c r="J96" s="78"/>
      <c r="K96" s="116"/>
      <c r="L96" s="107"/>
      <c r="M96" s="107"/>
      <c r="N96" s="107" t="s">
        <v>76</v>
      </c>
      <c r="O96" s="6"/>
    </row>
    <row r="97" spans="1:15" s="25" customFormat="1" ht="28.5" customHeight="1">
      <c r="A97" s="39" t="s">
        <v>190</v>
      </c>
      <c r="B97" s="55"/>
      <c r="C97" s="27" t="s">
        <v>41</v>
      </c>
      <c r="D97" s="3"/>
      <c r="E97" s="3"/>
      <c r="F97" s="3"/>
      <c r="G97" s="3"/>
      <c r="H97" s="124">
        <f t="shared" si="4"/>
        <v>24000</v>
      </c>
      <c r="I97" s="119"/>
      <c r="J97" s="97"/>
      <c r="K97" s="120">
        <f>K98</f>
        <v>24000</v>
      </c>
      <c r="L97" s="117"/>
      <c r="M97" s="117"/>
      <c r="N97" s="117"/>
      <c r="O97" s="6"/>
    </row>
    <row r="98" spans="1:15" s="25" customFormat="1" ht="12.75">
      <c r="A98" s="22" t="s">
        <v>12</v>
      </c>
      <c r="B98" s="40"/>
      <c r="C98" s="9" t="s">
        <v>41</v>
      </c>
      <c r="D98" s="9" t="s">
        <v>81</v>
      </c>
      <c r="E98" s="9" t="s">
        <v>154</v>
      </c>
      <c r="F98" s="9" t="s">
        <v>116</v>
      </c>
      <c r="G98" s="9" t="s">
        <v>115</v>
      </c>
      <c r="H98" s="126">
        <f t="shared" si="4"/>
        <v>24000</v>
      </c>
      <c r="I98" s="107" t="s">
        <v>76</v>
      </c>
      <c r="J98" s="78"/>
      <c r="K98" s="116">
        <v>24000</v>
      </c>
      <c r="L98" s="107"/>
      <c r="M98" s="107"/>
      <c r="N98" s="107" t="s">
        <v>76</v>
      </c>
      <c r="O98" s="6"/>
    </row>
    <row r="99" spans="1:15" s="25" customFormat="1" ht="54.75" customHeight="1">
      <c r="A99" s="681" t="s">
        <v>334</v>
      </c>
      <c r="B99" s="683"/>
      <c r="C99" s="27" t="s">
        <v>211</v>
      </c>
      <c r="D99" s="3"/>
      <c r="E99" s="3"/>
      <c r="F99" s="3"/>
      <c r="G99" s="3"/>
      <c r="H99" s="124">
        <f t="shared" si="4"/>
        <v>80000</v>
      </c>
      <c r="I99" s="117" t="s">
        <v>76</v>
      </c>
      <c r="J99" s="110"/>
      <c r="K99" s="97">
        <f>SUM(K100:K104)</f>
        <v>80000</v>
      </c>
      <c r="L99" s="117"/>
      <c r="M99" s="117"/>
      <c r="N99" s="117" t="s">
        <v>76</v>
      </c>
      <c r="O99" s="6"/>
    </row>
    <row r="100" spans="1:15" s="25" customFormat="1" ht="12.75">
      <c r="A100" s="22" t="s">
        <v>12</v>
      </c>
      <c r="B100" s="57"/>
      <c r="C100" s="9" t="s">
        <v>204</v>
      </c>
      <c r="D100" s="9" t="s">
        <v>81</v>
      </c>
      <c r="E100" s="9" t="s">
        <v>108</v>
      </c>
      <c r="F100" s="9" t="s">
        <v>116</v>
      </c>
      <c r="G100" s="9" t="s">
        <v>115</v>
      </c>
      <c r="H100" s="126">
        <f t="shared" si="4"/>
        <v>80000</v>
      </c>
      <c r="I100" s="107" t="s">
        <v>76</v>
      </c>
      <c r="J100" s="107"/>
      <c r="K100" s="116">
        <v>80000</v>
      </c>
      <c r="L100" s="107"/>
      <c r="M100" s="107"/>
      <c r="N100" s="107" t="s">
        <v>76</v>
      </c>
      <c r="O100" s="6"/>
    </row>
    <row r="101" spans="1:15" s="25" customFormat="1" ht="12.75" hidden="1">
      <c r="A101" s="22" t="s">
        <v>213</v>
      </c>
      <c r="B101" s="9"/>
      <c r="C101" s="9" t="s">
        <v>211</v>
      </c>
      <c r="D101" s="9" t="s">
        <v>212</v>
      </c>
      <c r="E101" s="9" t="s">
        <v>108</v>
      </c>
      <c r="F101" s="9" t="s">
        <v>116</v>
      </c>
      <c r="G101" s="9" t="s">
        <v>115</v>
      </c>
      <c r="H101" s="126">
        <f t="shared" si="4"/>
        <v>0</v>
      </c>
      <c r="I101" s="107" t="s">
        <v>76</v>
      </c>
      <c r="J101" s="78"/>
      <c r="K101" s="116"/>
      <c r="L101" s="107"/>
      <c r="M101" s="107"/>
      <c r="N101" s="107" t="s">
        <v>76</v>
      </c>
      <c r="O101" s="64" t="s">
        <v>76</v>
      </c>
    </row>
    <row r="102" spans="1:15" s="25" customFormat="1" ht="12.75" hidden="1">
      <c r="A102" s="61" t="s">
        <v>213</v>
      </c>
      <c r="B102" s="59"/>
      <c r="C102" s="59" t="s">
        <v>211</v>
      </c>
      <c r="D102" s="59" t="s">
        <v>214</v>
      </c>
      <c r="E102" s="59" t="s">
        <v>108</v>
      </c>
      <c r="F102" s="59" t="s">
        <v>116</v>
      </c>
      <c r="G102" s="59" t="s">
        <v>115</v>
      </c>
      <c r="H102" s="127">
        <f t="shared" si="4"/>
        <v>0</v>
      </c>
      <c r="I102" s="101" t="s">
        <v>76</v>
      </c>
      <c r="J102" s="100"/>
      <c r="K102" s="116"/>
      <c r="L102" s="101"/>
      <c r="M102" s="101"/>
      <c r="N102" s="101" t="s">
        <v>76</v>
      </c>
      <c r="O102" s="6"/>
    </row>
    <row r="103" spans="1:15" s="25" customFormat="1" ht="12.75" hidden="1">
      <c r="A103" s="61" t="s">
        <v>213</v>
      </c>
      <c r="B103" s="59"/>
      <c r="C103" s="59" t="s">
        <v>211</v>
      </c>
      <c r="D103" s="59" t="s">
        <v>215</v>
      </c>
      <c r="E103" s="59" t="s">
        <v>108</v>
      </c>
      <c r="F103" s="59" t="s">
        <v>116</v>
      </c>
      <c r="G103" s="59" t="s">
        <v>115</v>
      </c>
      <c r="H103" s="127">
        <f t="shared" si="4"/>
        <v>0</v>
      </c>
      <c r="I103" s="101" t="s">
        <v>76</v>
      </c>
      <c r="J103" s="100"/>
      <c r="K103" s="116"/>
      <c r="L103" s="101"/>
      <c r="M103" s="101"/>
      <c r="N103" s="101" t="s">
        <v>76</v>
      </c>
      <c r="O103" s="6"/>
    </row>
    <row r="104" spans="1:15" s="25" customFormat="1" ht="12.75" hidden="1">
      <c r="A104" s="61" t="s">
        <v>213</v>
      </c>
      <c r="B104" s="59"/>
      <c r="C104" s="59" t="s">
        <v>211</v>
      </c>
      <c r="D104" s="59" t="s">
        <v>216</v>
      </c>
      <c r="E104" s="59" t="s">
        <v>108</v>
      </c>
      <c r="F104" s="59" t="s">
        <v>116</v>
      </c>
      <c r="G104" s="59" t="s">
        <v>115</v>
      </c>
      <c r="H104" s="127">
        <f t="shared" si="4"/>
        <v>0</v>
      </c>
      <c r="I104" s="101" t="s">
        <v>76</v>
      </c>
      <c r="J104" s="100"/>
      <c r="K104" s="116"/>
      <c r="L104" s="101"/>
      <c r="M104" s="101"/>
      <c r="N104" s="101" t="s">
        <v>76</v>
      </c>
      <c r="O104" s="6"/>
    </row>
    <row r="105" spans="1:15" s="25" customFormat="1" ht="41.25" customHeight="1" hidden="1">
      <c r="A105" s="681" t="s">
        <v>217</v>
      </c>
      <c r="B105" s="683"/>
      <c r="C105" s="27" t="s">
        <v>51</v>
      </c>
      <c r="D105" s="43"/>
      <c r="E105" s="42"/>
      <c r="F105" s="42"/>
      <c r="G105" s="42"/>
      <c r="H105" s="124"/>
      <c r="I105" s="119"/>
      <c r="J105" s="97"/>
      <c r="K105" s="120">
        <f>SUM(K107:K112)</f>
        <v>0</v>
      </c>
      <c r="L105" s="119"/>
      <c r="M105" s="119"/>
      <c r="N105" s="119"/>
      <c r="O105" s="6"/>
    </row>
    <row r="106" spans="1:15" s="25" customFormat="1" ht="12.75" hidden="1">
      <c r="A106" s="61" t="s">
        <v>11</v>
      </c>
      <c r="B106" s="59"/>
      <c r="C106" s="59" t="s">
        <v>51</v>
      </c>
      <c r="D106" s="59" t="s">
        <v>81</v>
      </c>
      <c r="E106" s="59" t="s">
        <v>218</v>
      </c>
      <c r="F106" s="59" t="s">
        <v>121</v>
      </c>
      <c r="G106" s="59" t="s">
        <v>115</v>
      </c>
      <c r="H106" s="127">
        <f aca="true" t="shared" si="5" ref="H106:H112">K106</f>
        <v>0</v>
      </c>
      <c r="I106" s="101" t="s">
        <v>76</v>
      </c>
      <c r="J106" s="102"/>
      <c r="K106" s="104"/>
      <c r="L106" s="102"/>
      <c r="M106" s="100"/>
      <c r="N106" s="101" t="s">
        <v>76</v>
      </c>
      <c r="O106" s="6"/>
    </row>
    <row r="107" spans="1:15" s="25" customFormat="1" ht="12.75" hidden="1">
      <c r="A107" s="684" t="s">
        <v>12</v>
      </c>
      <c r="B107" s="9"/>
      <c r="C107" s="678" t="s">
        <v>51</v>
      </c>
      <c r="D107" s="9" t="s">
        <v>81</v>
      </c>
      <c r="E107" s="678" t="s">
        <v>218</v>
      </c>
      <c r="F107" s="678" t="s">
        <v>116</v>
      </c>
      <c r="G107" s="678" t="s">
        <v>115</v>
      </c>
      <c r="H107" s="126">
        <f t="shared" si="5"/>
        <v>0</v>
      </c>
      <c r="I107" s="107" t="s">
        <v>76</v>
      </c>
      <c r="J107" s="107"/>
      <c r="K107" s="116"/>
      <c r="L107" s="101"/>
      <c r="M107" s="101"/>
      <c r="N107" s="101" t="s">
        <v>76</v>
      </c>
      <c r="O107" s="6"/>
    </row>
    <row r="108" spans="1:15" s="25" customFormat="1" ht="12.75" hidden="1">
      <c r="A108" s="685"/>
      <c r="B108" s="9"/>
      <c r="C108" s="679"/>
      <c r="D108" s="9" t="s">
        <v>219</v>
      </c>
      <c r="E108" s="679"/>
      <c r="F108" s="679"/>
      <c r="G108" s="679"/>
      <c r="H108" s="126">
        <f t="shared" si="5"/>
        <v>0</v>
      </c>
      <c r="I108" s="107" t="s">
        <v>76</v>
      </c>
      <c r="J108" s="107"/>
      <c r="K108" s="116"/>
      <c r="L108" s="101"/>
      <c r="M108" s="101"/>
      <c r="N108" s="101" t="s">
        <v>76</v>
      </c>
      <c r="O108" s="6"/>
    </row>
    <row r="109" spans="1:15" s="25" customFormat="1" ht="12.75" hidden="1">
      <c r="A109" s="686"/>
      <c r="B109" s="9"/>
      <c r="C109" s="680"/>
      <c r="D109" s="9" t="s">
        <v>196</v>
      </c>
      <c r="E109" s="680"/>
      <c r="F109" s="680"/>
      <c r="G109" s="680"/>
      <c r="H109" s="126">
        <f t="shared" si="5"/>
        <v>0</v>
      </c>
      <c r="I109" s="107"/>
      <c r="J109" s="107"/>
      <c r="K109" s="116"/>
      <c r="L109" s="101"/>
      <c r="M109" s="101"/>
      <c r="N109" s="101"/>
      <c r="O109" s="6"/>
    </row>
    <row r="110" spans="1:15" s="25" customFormat="1" ht="25.5" hidden="1">
      <c r="A110" s="22" t="s">
        <v>220</v>
      </c>
      <c r="B110" s="9"/>
      <c r="C110" s="9" t="s">
        <v>51</v>
      </c>
      <c r="D110" s="9" t="s">
        <v>81</v>
      </c>
      <c r="E110" s="9" t="s">
        <v>218</v>
      </c>
      <c r="F110" s="9" t="s">
        <v>118</v>
      </c>
      <c r="G110" s="9" t="s">
        <v>115</v>
      </c>
      <c r="H110" s="126">
        <f>K110</f>
        <v>0</v>
      </c>
      <c r="I110" s="107" t="s">
        <v>76</v>
      </c>
      <c r="J110" s="107"/>
      <c r="K110" s="116"/>
      <c r="L110" s="101"/>
      <c r="M110" s="101"/>
      <c r="N110" s="101" t="s">
        <v>76</v>
      </c>
      <c r="O110" s="6"/>
    </row>
    <row r="111" spans="1:15" s="25" customFormat="1" ht="12.75" hidden="1">
      <c r="A111" s="684" t="s">
        <v>221</v>
      </c>
      <c r="B111" s="9"/>
      <c r="C111" s="678" t="s">
        <v>51</v>
      </c>
      <c r="D111" s="9" t="s">
        <v>81</v>
      </c>
      <c r="E111" s="678" t="s">
        <v>218</v>
      </c>
      <c r="F111" s="678" t="s">
        <v>119</v>
      </c>
      <c r="G111" s="678" t="s">
        <v>115</v>
      </c>
      <c r="H111" s="126">
        <f t="shared" si="5"/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2.75" hidden="1">
      <c r="A112" s="686"/>
      <c r="B112" s="9"/>
      <c r="C112" s="680"/>
      <c r="D112" s="9" t="s">
        <v>196</v>
      </c>
      <c r="E112" s="680"/>
      <c r="F112" s="680"/>
      <c r="G112" s="680"/>
      <c r="H112" s="126">
        <f t="shared" si="5"/>
        <v>0</v>
      </c>
      <c r="I112" s="107" t="s">
        <v>76</v>
      </c>
      <c r="J112" s="107"/>
      <c r="K112" s="116"/>
      <c r="L112" s="101"/>
      <c r="M112" s="101"/>
      <c r="N112" s="101" t="s">
        <v>76</v>
      </c>
      <c r="O112" s="6"/>
    </row>
    <row r="113" spans="1:15" s="25" customFormat="1" ht="15" customHeight="1" hidden="1">
      <c r="A113" s="681" t="s">
        <v>210</v>
      </c>
      <c r="B113" s="683"/>
      <c r="C113" s="27" t="s">
        <v>163</v>
      </c>
      <c r="D113" s="44"/>
      <c r="E113" s="3"/>
      <c r="F113" s="3"/>
      <c r="G113" s="3"/>
      <c r="H113" s="131"/>
      <c r="I113" s="117"/>
      <c r="J113" s="110"/>
      <c r="K113" s="120">
        <f>K114+K115</f>
        <v>0</v>
      </c>
      <c r="L113" s="117"/>
      <c r="M113" s="117"/>
      <c r="N113" s="117"/>
      <c r="O113" s="6"/>
    </row>
    <row r="114" spans="1:15" s="25" customFormat="1" ht="15" customHeight="1" hidden="1">
      <c r="A114" s="22" t="s">
        <v>11</v>
      </c>
      <c r="B114" s="40"/>
      <c r="C114" s="41" t="s">
        <v>163</v>
      </c>
      <c r="D114" s="6" t="s">
        <v>162</v>
      </c>
      <c r="E114" s="9" t="s">
        <v>157</v>
      </c>
      <c r="F114" s="46">
        <v>225</v>
      </c>
      <c r="G114" s="9" t="s">
        <v>115</v>
      </c>
      <c r="H114" s="129" t="s">
        <v>76</v>
      </c>
      <c r="I114" s="107" t="s">
        <v>76</v>
      </c>
      <c r="J114" s="78"/>
      <c r="K114" s="116"/>
      <c r="L114" s="107"/>
      <c r="M114" s="107"/>
      <c r="N114" s="107" t="s">
        <v>76</v>
      </c>
      <c r="O114" s="6"/>
    </row>
    <row r="115" spans="1:15" s="25" customFormat="1" ht="13.5" hidden="1">
      <c r="A115" s="47" t="s">
        <v>14</v>
      </c>
      <c r="B115" s="40"/>
      <c r="C115" s="41" t="s">
        <v>163</v>
      </c>
      <c r="D115" s="6" t="s">
        <v>162</v>
      </c>
      <c r="E115" s="9" t="s">
        <v>157</v>
      </c>
      <c r="F115" s="9" t="s">
        <v>118</v>
      </c>
      <c r="G115" s="9" t="s">
        <v>115</v>
      </c>
      <c r="H115" s="126"/>
      <c r="I115" s="107"/>
      <c r="J115" s="78"/>
      <c r="K115" s="116"/>
      <c r="L115" s="107"/>
      <c r="M115" s="107"/>
      <c r="N115" s="107"/>
      <c r="O115" s="6"/>
    </row>
    <row r="116" spans="1:15" s="25" customFormat="1" ht="15" customHeight="1" hidden="1">
      <c r="A116" s="681" t="s">
        <v>177</v>
      </c>
      <c r="B116" s="683"/>
      <c r="C116" s="27" t="s">
        <v>23</v>
      </c>
      <c r="D116" s="44"/>
      <c r="E116" s="3"/>
      <c r="F116" s="3"/>
      <c r="G116" s="3"/>
      <c r="H116" s="131"/>
      <c r="I116" s="117"/>
      <c r="J116" s="110"/>
      <c r="K116" s="118">
        <f>K117</f>
        <v>0</v>
      </c>
      <c r="L116" s="117"/>
      <c r="M116" s="117"/>
      <c r="N116" s="117"/>
      <c r="O116" s="6"/>
    </row>
    <row r="117" spans="1:15" s="25" customFormat="1" ht="15" customHeight="1" hidden="1">
      <c r="A117" s="22" t="s">
        <v>178</v>
      </c>
      <c r="B117" s="9"/>
      <c r="C117" s="9" t="s">
        <v>23</v>
      </c>
      <c r="D117" s="9" t="s">
        <v>81</v>
      </c>
      <c r="E117" s="9" t="s">
        <v>108</v>
      </c>
      <c r="F117" s="9" t="s">
        <v>116</v>
      </c>
      <c r="G117" s="9" t="s">
        <v>115</v>
      </c>
      <c r="H117" s="126"/>
      <c r="I117" s="107"/>
      <c r="J117" s="78"/>
      <c r="K117" s="116"/>
      <c r="L117" s="107"/>
      <c r="M117" s="107"/>
      <c r="N117" s="107"/>
      <c r="O117" s="6"/>
    </row>
    <row r="118" spans="1:15" s="25" customFormat="1" ht="29.25" customHeight="1" hidden="1">
      <c r="A118" s="681" t="s">
        <v>191</v>
      </c>
      <c r="B118" s="683"/>
      <c r="C118" s="27" t="s">
        <v>192</v>
      </c>
      <c r="D118" s="3"/>
      <c r="E118" s="3"/>
      <c r="F118" s="3"/>
      <c r="G118" s="3"/>
      <c r="H118" s="124">
        <f aca="true" t="shared" si="6" ref="H118:H124">K118</f>
        <v>0</v>
      </c>
      <c r="I118" s="119"/>
      <c r="J118" s="97"/>
      <c r="K118" s="97">
        <f>K119+K120</f>
        <v>0</v>
      </c>
      <c r="L118" s="117"/>
      <c r="M118" s="117"/>
      <c r="N118" s="117"/>
      <c r="O118" s="6"/>
    </row>
    <row r="119" spans="1:15" s="25" customFormat="1" ht="16.5" customHeight="1" hidden="1">
      <c r="A119" s="61" t="s">
        <v>195</v>
      </c>
      <c r="B119" s="67"/>
      <c r="C119" s="59" t="s">
        <v>192</v>
      </c>
      <c r="D119" s="59" t="s">
        <v>193</v>
      </c>
      <c r="E119" s="59" t="s">
        <v>108</v>
      </c>
      <c r="F119" s="59" t="s">
        <v>121</v>
      </c>
      <c r="G119" s="59" t="s">
        <v>194</v>
      </c>
      <c r="H119" s="127">
        <f t="shared" si="6"/>
        <v>0</v>
      </c>
      <c r="I119" s="101" t="s">
        <v>76</v>
      </c>
      <c r="J119" s="100"/>
      <c r="K119" s="104"/>
      <c r="L119" s="101"/>
      <c r="M119" s="101"/>
      <c r="N119" s="101" t="s">
        <v>76</v>
      </c>
      <c r="O119" s="6"/>
    </row>
    <row r="120" spans="1:15" s="25" customFormat="1" ht="16.5" customHeight="1" hidden="1">
      <c r="A120" s="61" t="s">
        <v>195</v>
      </c>
      <c r="B120" s="68"/>
      <c r="C120" s="59" t="s">
        <v>192</v>
      </c>
      <c r="D120" s="59" t="s">
        <v>196</v>
      </c>
      <c r="E120" s="59" t="s">
        <v>108</v>
      </c>
      <c r="F120" s="59" t="s">
        <v>121</v>
      </c>
      <c r="G120" s="59" t="s">
        <v>194</v>
      </c>
      <c r="H120" s="127">
        <f t="shared" si="6"/>
        <v>0</v>
      </c>
      <c r="I120" s="101" t="s">
        <v>76</v>
      </c>
      <c r="J120" s="100"/>
      <c r="K120" s="104"/>
      <c r="L120" s="101"/>
      <c r="M120" s="101"/>
      <c r="N120" s="101" t="s">
        <v>76</v>
      </c>
      <c r="O120" s="6"/>
    </row>
    <row r="121" spans="1:15" s="25" customFormat="1" ht="16.5" customHeight="1" hidden="1">
      <c r="A121" s="39" t="s">
        <v>222</v>
      </c>
      <c r="B121" s="38"/>
      <c r="C121" s="27" t="s">
        <v>203</v>
      </c>
      <c r="D121" s="3"/>
      <c r="E121" s="3"/>
      <c r="F121" s="3"/>
      <c r="G121" s="3"/>
      <c r="H121" s="124">
        <f t="shared" si="6"/>
        <v>0</v>
      </c>
      <c r="I121" s="117" t="s">
        <v>76</v>
      </c>
      <c r="J121" s="110"/>
      <c r="K121" s="120">
        <f>K122</f>
        <v>0</v>
      </c>
      <c r="L121" s="117"/>
      <c r="M121" s="117"/>
      <c r="N121" s="117" t="s">
        <v>76</v>
      </c>
      <c r="O121" s="6"/>
    </row>
    <row r="122" spans="1:15" s="25" customFormat="1" ht="24" customHeight="1" hidden="1">
      <c r="A122" s="22" t="s">
        <v>236</v>
      </c>
      <c r="B122" s="40"/>
      <c r="C122" s="9" t="s">
        <v>203</v>
      </c>
      <c r="D122" s="9" t="s">
        <v>81</v>
      </c>
      <c r="E122" s="9" t="s">
        <v>108</v>
      </c>
      <c r="F122" s="9" t="s">
        <v>205</v>
      </c>
      <c r="G122" s="9" t="s">
        <v>123</v>
      </c>
      <c r="H122" s="126">
        <f t="shared" si="6"/>
        <v>0</v>
      </c>
      <c r="I122" s="107" t="s">
        <v>76</v>
      </c>
      <c r="J122" s="78"/>
      <c r="K122" s="121"/>
      <c r="L122" s="107"/>
      <c r="M122" s="107"/>
      <c r="N122" s="107" t="s">
        <v>76</v>
      </c>
      <c r="O122" s="6"/>
    </row>
    <row r="123" spans="1:15" s="25" customFormat="1" ht="12.75" hidden="1">
      <c r="A123" s="75" t="s">
        <v>226</v>
      </c>
      <c r="B123" s="58"/>
      <c r="C123" s="42" t="s">
        <v>23</v>
      </c>
      <c r="D123" s="42"/>
      <c r="E123" s="42"/>
      <c r="F123" s="42"/>
      <c r="G123" s="42"/>
      <c r="H123" s="125">
        <f t="shared" si="6"/>
        <v>0</v>
      </c>
      <c r="I123" s="119"/>
      <c r="J123" s="98"/>
      <c r="K123" s="97">
        <f>K124</f>
        <v>0</v>
      </c>
      <c r="L123" s="119"/>
      <c r="M123" s="119"/>
      <c r="N123" s="119"/>
      <c r="O123" s="6"/>
    </row>
    <row r="124" spans="1:15" s="25" customFormat="1" ht="12.75" hidden="1">
      <c r="A124" s="76" t="s">
        <v>227</v>
      </c>
      <c r="B124" s="57"/>
      <c r="C124" s="9" t="s">
        <v>23</v>
      </c>
      <c r="D124" s="9" t="s">
        <v>228</v>
      </c>
      <c r="E124" s="9" t="s">
        <v>157</v>
      </c>
      <c r="F124" s="9" t="s">
        <v>116</v>
      </c>
      <c r="G124" s="9" t="s">
        <v>115</v>
      </c>
      <c r="H124" s="129">
        <f t="shared" si="6"/>
        <v>0</v>
      </c>
      <c r="I124" s="107"/>
      <c r="J124" s="26"/>
      <c r="K124" s="78"/>
      <c r="L124" s="107"/>
      <c r="M124" s="107"/>
      <c r="N124" s="107"/>
      <c r="O124" s="6"/>
    </row>
    <row r="125" spans="1:15" s="25" customFormat="1" ht="12.75" hidden="1">
      <c r="A125" s="77" t="s">
        <v>231</v>
      </c>
      <c r="B125" s="58"/>
      <c r="C125" s="87" t="s">
        <v>230</v>
      </c>
      <c r="D125" s="53"/>
      <c r="E125" s="53"/>
      <c r="F125" s="53"/>
      <c r="G125" s="53"/>
      <c r="H125" s="124">
        <f>K125</f>
        <v>0</v>
      </c>
      <c r="I125" s="119"/>
      <c r="J125" s="97"/>
      <c r="K125" s="98">
        <f>K126</f>
        <v>0</v>
      </c>
      <c r="L125" s="119"/>
      <c r="M125" s="119"/>
      <c r="N125" s="119"/>
      <c r="O125" s="6"/>
    </row>
    <row r="126" spans="1:15" s="25" customFormat="1" ht="12.75" hidden="1">
      <c r="A126" s="22" t="s">
        <v>227</v>
      </c>
      <c r="B126" s="57"/>
      <c r="C126" s="9" t="s">
        <v>230</v>
      </c>
      <c r="D126" s="9" t="s">
        <v>81</v>
      </c>
      <c r="E126" s="9" t="s">
        <v>232</v>
      </c>
      <c r="F126" s="9" t="s">
        <v>116</v>
      </c>
      <c r="G126" s="9" t="s">
        <v>115</v>
      </c>
      <c r="H126" s="126">
        <f>K126</f>
        <v>0</v>
      </c>
      <c r="I126" s="107"/>
      <c r="J126" s="78"/>
      <c r="K126" s="26"/>
      <c r="L126" s="107"/>
      <c r="M126" s="107"/>
      <c r="N126" s="107"/>
      <c r="O126" s="6"/>
    </row>
    <row r="127" spans="1:15" s="25" customFormat="1" ht="29.25" customHeight="1">
      <c r="A127" s="681" t="s">
        <v>224</v>
      </c>
      <c r="B127" s="682"/>
      <c r="C127" s="27" t="s">
        <v>80</v>
      </c>
      <c r="D127" s="3"/>
      <c r="E127" s="3"/>
      <c r="F127" s="3"/>
      <c r="G127" s="3"/>
      <c r="H127" s="124">
        <f>N127</f>
        <v>30000</v>
      </c>
      <c r="I127" s="119"/>
      <c r="J127" s="119"/>
      <c r="K127" s="119"/>
      <c r="L127" s="119"/>
      <c r="M127" s="119"/>
      <c r="N127" s="97">
        <f>SUM(N128:N135)</f>
        <v>30000</v>
      </c>
      <c r="O127" s="6"/>
    </row>
    <row r="128" spans="1:15" s="25" customFormat="1" ht="13.5" customHeight="1" hidden="1">
      <c r="A128" s="45" t="s">
        <v>8</v>
      </c>
      <c r="B128" s="8"/>
      <c r="C128" s="9" t="s">
        <v>80</v>
      </c>
      <c r="D128" s="9" t="s">
        <v>81</v>
      </c>
      <c r="E128" s="9" t="s">
        <v>108</v>
      </c>
      <c r="F128" s="9" t="s">
        <v>128</v>
      </c>
      <c r="G128" s="9" t="s">
        <v>115</v>
      </c>
      <c r="H128" s="126">
        <f aca="true" t="shared" si="7" ref="H128:H134">N128</f>
        <v>0</v>
      </c>
      <c r="I128" s="107" t="s">
        <v>76</v>
      </c>
      <c r="J128" s="107" t="s">
        <v>76</v>
      </c>
      <c r="K128" s="107" t="s">
        <v>76</v>
      </c>
      <c r="L128" s="107" t="s">
        <v>76</v>
      </c>
      <c r="M128" s="107"/>
      <c r="N128" s="122"/>
      <c r="O128" s="6"/>
    </row>
    <row r="129" spans="1:15" s="25" customFormat="1" ht="13.5" customHeight="1" hidden="1">
      <c r="A129" s="22" t="s">
        <v>11</v>
      </c>
      <c r="B129" s="9"/>
      <c r="C129" s="9" t="s">
        <v>80</v>
      </c>
      <c r="D129" s="9" t="s">
        <v>81</v>
      </c>
      <c r="E129" s="9" t="s">
        <v>108</v>
      </c>
      <c r="F129" s="9" t="s">
        <v>121</v>
      </c>
      <c r="G129" s="9" t="s">
        <v>115</v>
      </c>
      <c r="H129" s="126">
        <f t="shared" si="7"/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/>
      <c r="N129" s="122"/>
      <c r="O129" s="6"/>
    </row>
    <row r="130" spans="1:15" s="25" customFormat="1" ht="13.5" customHeight="1" hidden="1">
      <c r="A130" s="22" t="s">
        <v>11</v>
      </c>
      <c r="B130" s="9"/>
      <c r="C130" s="9" t="s">
        <v>80</v>
      </c>
      <c r="D130" s="9" t="s">
        <v>81</v>
      </c>
      <c r="E130" s="9" t="s">
        <v>218</v>
      </c>
      <c r="F130" s="9" t="s">
        <v>121</v>
      </c>
      <c r="G130" s="9" t="s">
        <v>115</v>
      </c>
      <c r="H130" s="126">
        <f>N130</f>
        <v>0</v>
      </c>
      <c r="I130" s="107" t="s">
        <v>76</v>
      </c>
      <c r="J130" s="107" t="s">
        <v>76</v>
      </c>
      <c r="K130" s="107" t="s">
        <v>76</v>
      </c>
      <c r="L130" s="107" t="s">
        <v>76</v>
      </c>
      <c r="M130" s="107" t="s">
        <v>76</v>
      </c>
      <c r="N130" s="78"/>
      <c r="O130" s="6"/>
    </row>
    <row r="131" spans="1:15" s="25" customFormat="1" ht="13.5" customHeight="1" hidden="1">
      <c r="A131" s="22" t="s">
        <v>12</v>
      </c>
      <c r="B131" s="9"/>
      <c r="C131" s="9" t="s">
        <v>80</v>
      </c>
      <c r="D131" s="9" t="s">
        <v>81</v>
      </c>
      <c r="E131" s="9" t="s">
        <v>108</v>
      </c>
      <c r="F131" s="9" t="s">
        <v>116</v>
      </c>
      <c r="G131" s="9" t="s">
        <v>115</v>
      </c>
      <c r="H131" s="126">
        <f t="shared" si="7"/>
        <v>0</v>
      </c>
      <c r="I131" s="107" t="s">
        <v>76</v>
      </c>
      <c r="J131" s="107"/>
      <c r="K131" s="107" t="s">
        <v>76</v>
      </c>
      <c r="L131" s="107" t="s">
        <v>76</v>
      </c>
      <c r="M131" s="107"/>
      <c r="N131" s="139"/>
      <c r="O131" s="6"/>
    </row>
    <row r="132" spans="1:15" s="25" customFormat="1" ht="13.5" customHeight="1">
      <c r="A132" s="22" t="s">
        <v>12</v>
      </c>
      <c r="B132" s="9"/>
      <c r="C132" s="9" t="s">
        <v>80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>
        <f>N132</f>
        <v>30000</v>
      </c>
      <c r="I132" s="107" t="s">
        <v>76</v>
      </c>
      <c r="J132" s="107" t="s">
        <v>76</v>
      </c>
      <c r="K132" s="107" t="s">
        <v>76</v>
      </c>
      <c r="L132" s="107" t="s">
        <v>76</v>
      </c>
      <c r="M132" s="107" t="s">
        <v>76</v>
      </c>
      <c r="N132" s="78">
        <v>30000</v>
      </c>
      <c r="O132" s="6"/>
    </row>
    <row r="133" spans="1:15" s="25" customFormat="1" ht="13.5" customHeight="1" hidden="1">
      <c r="A133" s="22" t="s">
        <v>14</v>
      </c>
      <c r="B133" s="9"/>
      <c r="C133" s="9" t="s">
        <v>80</v>
      </c>
      <c r="D133" s="9" t="s">
        <v>81</v>
      </c>
      <c r="E133" s="9" t="s">
        <v>108</v>
      </c>
      <c r="F133" s="9" t="s">
        <v>118</v>
      </c>
      <c r="G133" s="9" t="s">
        <v>115</v>
      </c>
      <c r="H133" s="126">
        <f t="shared" si="7"/>
        <v>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/>
      <c r="N133" s="122"/>
      <c r="O133" s="6"/>
    </row>
    <row r="134" spans="1:15" s="25" customFormat="1" ht="13.5" customHeight="1" hidden="1">
      <c r="A134" s="22" t="s">
        <v>188</v>
      </c>
      <c r="B134" s="9"/>
      <c r="C134" s="9" t="s">
        <v>80</v>
      </c>
      <c r="D134" s="9" t="s">
        <v>81</v>
      </c>
      <c r="E134" s="9" t="s">
        <v>108</v>
      </c>
      <c r="F134" s="9" t="s">
        <v>119</v>
      </c>
      <c r="G134" s="9" t="s">
        <v>115</v>
      </c>
      <c r="H134" s="126">
        <f t="shared" si="7"/>
        <v>0</v>
      </c>
      <c r="I134" s="107" t="s">
        <v>76</v>
      </c>
      <c r="J134" s="107"/>
      <c r="K134" s="107" t="s">
        <v>76</v>
      </c>
      <c r="L134" s="107" t="s">
        <v>76</v>
      </c>
      <c r="M134" s="107"/>
      <c r="N134" s="99"/>
      <c r="O134" s="6"/>
    </row>
    <row r="135" spans="1:15" s="25" customFormat="1" ht="13.5" customHeight="1" hidden="1">
      <c r="A135" s="66" t="s">
        <v>221</v>
      </c>
      <c r="B135" s="66"/>
      <c r="C135" s="59" t="s">
        <v>80</v>
      </c>
      <c r="D135" s="59" t="s">
        <v>81</v>
      </c>
      <c r="E135" s="59" t="s">
        <v>218</v>
      </c>
      <c r="F135" s="59" t="s">
        <v>119</v>
      </c>
      <c r="G135" s="59" t="s">
        <v>115</v>
      </c>
      <c r="H135" s="127">
        <f>N135</f>
        <v>0</v>
      </c>
      <c r="I135" s="101" t="s">
        <v>76</v>
      </c>
      <c r="J135" s="123"/>
      <c r="K135" s="107" t="s">
        <v>76</v>
      </c>
      <c r="L135" s="123"/>
      <c r="M135" s="123"/>
      <c r="N135" s="78"/>
      <c r="O135" s="6"/>
    </row>
    <row r="136" spans="1:15" s="25" customFormat="1" ht="27">
      <c r="A136" s="96" t="s">
        <v>129</v>
      </c>
      <c r="B136" s="32" t="s">
        <v>130</v>
      </c>
      <c r="C136" s="33" t="s">
        <v>76</v>
      </c>
      <c r="D136" s="33" t="s">
        <v>76</v>
      </c>
      <c r="E136" s="33" t="s">
        <v>76</v>
      </c>
      <c r="F136" s="33" t="s">
        <v>76</v>
      </c>
      <c r="G136" s="33" t="s">
        <v>76</v>
      </c>
      <c r="H136" s="130">
        <f>I136+N136+K136</f>
        <v>16679700</v>
      </c>
      <c r="I136" s="130">
        <f>I51+I54+I80+I81+I52+I66</f>
        <v>16679700</v>
      </c>
      <c r="J136" s="130"/>
      <c r="K136" s="130">
        <f>K122</f>
        <v>0</v>
      </c>
      <c r="L136" s="134" t="s">
        <v>76</v>
      </c>
      <c r="M136" s="134" t="s">
        <v>76</v>
      </c>
      <c r="N136" s="130"/>
      <c r="O136" s="6" t="s">
        <v>76</v>
      </c>
    </row>
    <row r="137" spans="1:15" s="25" customFormat="1" ht="27">
      <c r="A137" s="96" t="s">
        <v>131</v>
      </c>
      <c r="B137" s="32" t="s">
        <v>132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H139+H138</f>
        <v>5327400</v>
      </c>
      <c r="I137" s="130">
        <f>I139+I138</f>
        <v>4516500</v>
      </c>
      <c r="J137" s="130">
        <f>J139+J138</f>
        <v>0</v>
      </c>
      <c r="K137" s="130">
        <f>K139+K138</f>
        <v>780900</v>
      </c>
      <c r="L137" s="134"/>
      <c r="M137" s="134"/>
      <c r="N137" s="130">
        <f>N139+N138</f>
        <v>30000</v>
      </c>
      <c r="O137" s="6"/>
    </row>
    <row r="138" spans="1:15" s="25" customFormat="1" ht="24" customHeight="1">
      <c r="A138" s="96" t="s">
        <v>133</v>
      </c>
      <c r="B138" s="32" t="s">
        <v>134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I138+N138+K138</f>
        <v>0</v>
      </c>
      <c r="I138" s="130"/>
      <c r="J138" s="130"/>
      <c r="K138" s="130">
        <v>0</v>
      </c>
      <c r="L138" s="134"/>
      <c r="M138" s="134"/>
      <c r="N138" s="130">
        <v>0</v>
      </c>
      <c r="O138" s="6"/>
    </row>
    <row r="139" spans="1:15" s="25" customFormat="1" ht="12.75" customHeight="1">
      <c r="A139" s="96" t="s">
        <v>135</v>
      </c>
      <c r="B139" s="32" t="s">
        <v>136</v>
      </c>
      <c r="C139" s="33" t="s">
        <v>76</v>
      </c>
      <c r="D139" s="33" t="s">
        <v>76</v>
      </c>
      <c r="E139" s="33" t="s">
        <v>76</v>
      </c>
      <c r="F139" s="33" t="s">
        <v>76</v>
      </c>
      <c r="G139" s="33" t="s">
        <v>76</v>
      </c>
      <c r="H139" s="130">
        <f>I139+N139+K139</f>
        <v>5327400</v>
      </c>
      <c r="I139" s="130">
        <f>I56+I61+I62+I63+I64+I67+I72+I73+I75+I76+I77+I78+I79+I90+I85+I86+I68+I69+I70+I71+I87</f>
        <v>4516500</v>
      </c>
      <c r="J139" s="130"/>
      <c r="K139" s="130">
        <f>K94+K98+K119+K120+K107+K108+K109+K112+K114+K101+K102+K103+K104+K100+K124+K126+K111</f>
        <v>780900</v>
      </c>
      <c r="L139" s="134" t="s">
        <v>76</v>
      </c>
      <c r="M139" s="134" t="s">
        <v>76</v>
      </c>
      <c r="N139" s="130">
        <f>N128+N129+N131+N133+N134+N130+N132+N135</f>
        <v>30000</v>
      </c>
      <c r="O139" s="6" t="s">
        <v>76</v>
      </c>
    </row>
    <row r="140" spans="1:15" s="25" customFormat="1" ht="13.5" hidden="1">
      <c r="A140" s="8" t="s">
        <v>137</v>
      </c>
      <c r="B140" s="9" t="s">
        <v>138</v>
      </c>
      <c r="C140" s="34" t="s">
        <v>76</v>
      </c>
      <c r="D140" s="34" t="s">
        <v>76</v>
      </c>
      <c r="E140" s="34" t="s">
        <v>76</v>
      </c>
      <c r="F140" s="34" t="s">
        <v>76</v>
      </c>
      <c r="G140" s="34" t="s">
        <v>76</v>
      </c>
      <c r="H140" s="126">
        <f>I140+N140</f>
        <v>0</v>
      </c>
      <c r="I140" s="126">
        <v>0</v>
      </c>
      <c r="J140" s="126"/>
      <c r="K140" s="126"/>
      <c r="L140" s="135" t="s">
        <v>76</v>
      </c>
      <c r="M140" s="135" t="s">
        <v>76</v>
      </c>
      <c r="N140" s="126">
        <v>0</v>
      </c>
      <c r="O140" s="6" t="s">
        <v>76</v>
      </c>
    </row>
    <row r="141" spans="1:15" s="25" customFormat="1" ht="13.5" hidden="1">
      <c r="A141" s="20" t="s">
        <v>139</v>
      </c>
      <c r="B141" s="9" t="s">
        <v>118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140</v>
      </c>
      <c r="B142" s="9" t="s">
        <v>141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142</v>
      </c>
      <c r="B143" s="9" t="s">
        <v>143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144</v>
      </c>
      <c r="B144" s="9" t="s">
        <v>145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20" t="s">
        <v>146</v>
      </c>
      <c r="B145" s="9" t="s">
        <v>147</v>
      </c>
      <c r="C145" s="34" t="s">
        <v>76</v>
      </c>
      <c r="D145" s="34" t="s">
        <v>76</v>
      </c>
      <c r="E145" s="34" t="s">
        <v>76</v>
      </c>
      <c r="F145" s="34" t="s">
        <v>76</v>
      </c>
      <c r="G145" s="34" t="s">
        <v>76</v>
      </c>
      <c r="H145" s="126">
        <v>0</v>
      </c>
      <c r="I145" s="126">
        <v>0</v>
      </c>
      <c r="J145" s="126"/>
      <c r="K145" s="126"/>
      <c r="L145" s="135" t="s">
        <v>76</v>
      </c>
      <c r="M145" s="135" t="s">
        <v>76</v>
      </c>
      <c r="N145" s="126">
        <v>0</v>
      </c>
      <c r="O145" s="6" t="s">
        <v>76</v>
      </c>
    </row>
    <row r="146" spans="1:15" s="25" customFormat="1" ht="13.5" hidden="1">
      <c r="A146" s="48" t="s">
        <v>137</v>
      </c>
      <c r="B146" s="49" t="s">
        <v>138</v>
      </c>
      <c r="C146" s="50" t="s">
        <v>173</v>
      </c>
      <c r="D146" s="49" t="s">
        <v>81</v>
      </c>
      <c r="E146" s="50" t="s">
        <v>174</v>
      </c>
      <c r="F146" s="50" t="s">
        <v>174</v>
      </c>
      <c r="G146" s="50" t="s">
        <v>175</v>
      </c>
      <c r="H146" s="132"/>
      <c r="I146" s="136"/>
      <c r="J146" s="136"/>
      <c r="K146" s="136"/>
      <c r="L146" s="137"/>
      <c r="M146" s="137"/>
      <c r="N146" s="136"/>
      <c r="O146" s="6"/>
    </row>
    <row r="147" spans="1:15" s="25" customFormat="1" ht="13.5" hidden="1">
      <c r="A147" s="51" t="s">
        <v>142</v>
      </c>
      <c r="B147" s="49" t="s">
        <v>143</v>
      </c>
      <c r="C147" s="50" t="s">
        <v>173</v>
      </c>
      <c r="D147" s="49" t="s">
        <v>81</v>
      </c>
      <c r="E147" s="50" t="s">
        <v>174</v>
      </c>
      <c r="F147" s="50" t="s">
        <v>174</v>
      </c>
      <c r="G147" s="50" t="s">
        <v>176</v>
      </c>
      <c r="H147" s="132"/>
      <c r="I147" s="136"/>
      <c r="J147" s="136"/>
      <c r="K147" s="136"/>
      <c r="L147" s="137"/>
      <c r="M147" s="137"/>
      <c r="N147" s="136"/>
      <c r="O147" s="6"/>
    </row>
    <row r="148" spans="1:15" s="25" customFormat="1" ht="13.5">
      <c r="A148" s="35" t="s">
        <v>148</v>
      </c>
      <c r="B148" s="36" t="s">
        <v>149</v>
      </c>
      <c r="C148" s="37" t="s">
        <v>76</v>
      </c>
      <c r="D148" s="37" t="s">
        <v>76</v>
      </c>
      <c r="E148" s="37" t="s">
        <v>76</v>
      </c>
      <c r="F148" s="37" t="s">
        <v>76</v>
      </c>
      <c r="G148" s="37" t="s">
        <v>76</v>
      </c>
      <c r="H148" s="133">
        <f>I148+K148+N148</f>
        <v>0</v>
      </c>
      <c r="I148" s="133">
        <v>0</v>
      </c>
      <c r="J148" s="133"/>
      <c r="K148" s="133"/>
      <c r="L148" s="138" t="s">
        <v>76</v>
      </c>
      <c r="M148" s="138" t="s">
        <v>76</v>
      </c>
      <c r="N148" s="133"/>
      <c r="O148" s="6" t="s">
        <v>76</v>
      </c>
    </row>
    <row r="149" spans="1:15" s="25" customFormat="1" ht="13.5">
      <c r="A149" s="20" t="s">
        <v>150</v>
      </c>
      <c r="B149" s="9" t="s">
        <v>151</v>
      </c>
      <c r="C149" s="34" t="s">
        <v>76</v>
      </c>
      <c r="D149" s="34" t="s">
        <v>76</v>
      </c>
      <c r="E149" s="34" t="s">
        <v>76</v>
      </c>
      <c r="F149" s="34" t="s">
        <v>76</v>
      </c>
      <c r="G149" s="34" t="s">
        <v>76</v>
      </c>
      <c r="H149" s="126">
        <v>0</v>
      </c>
      <c r="I149" s="126">
        <v>0</v>
      </c>
      <c r="J149" s="126"/>
      <c r="K149" s="126"/>
      <c r="L149" s="135" t="s">
        <v>76</v>
      </c>
      <c r="M149" s="135" t="s">
        <v>76</v>
      </c>
      <c r="N149" s="126">
        <v>0</v>
      </c>
      <c r="O149" s="6" t="s">
        <v>76</v>
      </c>
    </row>
    <row r="151" ht="12.75">
      <c r="A151" s="88" t="s">
        <v>271</v>
      </c>
    </row>
    <row r="152" ht="12.75">
      <c r="A152" s="88"/>
    </row>
    <row r="153" ht="19.5" customHeight="1">
      <c r="A153" s="88" t="s">
        <v>17</v>
      </c>
    </row>
    <row r="154" ht="12.75">
      <c r="A154" s="88" t="s">
        <v>272</v>
      </c>
    </row>
    <row r="155" ht="12.75">
      <c r="A155" s="88"/>
    </row>
    <row r="156" ht="13.5" customHeight="1">
      <c r="A156" s="89"/>
    </row>
    <row r="157" ht="13.5" customHeight="1">
      <c r="A157" s="89"/>
    </row>
    <row r="158" ht="12.7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  <row r="164" ht="12.75" customHeight="1">
      <c r="A164" s="89"/>
    </row>
  </sheetData>
  <sheetProtection/>
  <mergeCells count="80">
    <mergeCell ref="A127:B127"/>
    <mergeCell ref="A99:B99"/>
    <mergeCell ref="A105:B105"/>
    <mergeCell ref="A107:A109"/>
    <mergeCell ref="A113:B113"/>
    <mergeCell ref="A116:B116"/>
    <mergeCell ref="A118:B118"/>
    <mergeCell ref="G107:G109"/>
    <mergeCell ref="A111:A112"/>
    <mergeCell ref="C111:C112"/>
    <mergeCell ref="E111:E112"/>
    <mergeCell ref="F111:F112"/>
    <mergeCell ref="G111:G112"/>
    <mergeCell ref="E107:E109"/>
    <mergeCell ref="C107:C109"/>
    <mergeCell ref="F107:F109"/>
    <mergeCell ref="G76:G77"/>
    <mergeCell ref="A78:A79"/>
    <mergeCell ref="C78:C79"/>
    <mergeCell ref="E78:E79"/>
    <mergeCell ref="F78:F79"/>
    <mergeCell ref="G78:G79"/>
    <mergeCell ref="F76:F77"/>
    <mergeCell ref="G63:G64"/>
    <mergeCell ref="A95:B95"/>
    <mergeCell ref="A63:A64"/>
    <mergeCell ref="C63:C64"/>
    <mergeCell ref="E63:E64"/>
    <mergeCell ref="A91:B91"/>
    <mergeCell ref="A74:B74"/>
    <mergeCell ref="A76:A77"/>
    <mergeCell ref="C76:C77"/>
    <mergeCell ref="E76:E77"/>
    <mergeCell ref="A72:A73"/>
    <mergeCell ref="C72:C73"/>
    <mergeCell ref="E72:E73"/>
    <mergeCell ref="F72:F73"/>
    <mergeCell ref="A56:A61"/>
    <mergeCell ref="C56:C61"/>
    <mergeCell ref="F56:F61"/>
    <mergeCell ref="E67:E68"/>
    <mergeCell ref="G72:G73"/>
    <mergeCell ref="F63:F64"/>
    <mergeCell ref="A30:A34"/>
    <mergeCell ref="F30:F34"/>
    <mergeCell ref="A35:A37"/>
    <mergeCell ref="C35:C37"/>
    <mergeCell ref="F35:F37"/>
    <mergeCell ref="A40:A41"/>
    <mergeCell ref="C40:C41"/>
    <mergeCell ref="F40:F41"/>
    <mergeCell ref="A50:B50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H4:O4"/>
    <mergeCell ref="H5:H6"/>
    <mergeCell ref="I5:O5"/>
    <mergeCell ref="N6:O6"/>
    <mergeCell ref="F18:F22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zoomScalePageLayoutView="0" workbookViewId="0" topLeftCell="A69">
      <selection activeCell="A100" sqref="A100:B100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304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21857739</v>
      </c>
      <c r="I9" s="124">
        <f>I15</f>
        <v>21046839</v>
      </c>
      <c r="J9" s="124"/>
      <c r="K9" s="124">
        <f>K23</f>
        <v>780900</v>
      </c>
      <c r="L9" s="125" t="s">
        <v>76</v>
      </c>
      <c r="M9" s="125" t="s">
        <v>76</v>
      </c>
      <c r="N9" s="124">
        <f>N10</f>
        <v>30000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30000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30000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 hidden="1">
      <c r="A14" s="8" t="s">
        <v>83</v>
      </c>
      <c r="B14" s="695"/>
      <c r="C14" s="9" t="s">
        <v>80</v>
      </c>
      <c r="D14" s="9" t="s">
        <v>81</v>
      </c>
      <c r="E14" s="9"/>
      <c r="F14" s="9" t="s">
        <v>208</v>
      </c>
      <c r="G14" s="9"/>
      <c r="H14" s="126">
        <f>N14</f>
        <v>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/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21046839</v>
      </c>
      <c r="I15" s="100">
        <f>I16+I18+I19+I17+I22</f>
        <v>21046839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359">
        <f>408300</f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1394239</v>
      </c>
      <c r="I18" s="356">
        <f>1543600-149361</f>
        <v>1394239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780900</v>
      </c>
      <c r="I23" s="102" t="s">
        <v>76</v>
      </c>
      <c r="J23" s="100"/>
      <c r="K23" s="100">
        <f>SUM(K24:K43)</f>
        <v>780900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74" t="s">
        <v>89</v>
      </c>
      <c r="E24" s="62"/>
      <c r="F24" s="6" t="s">
        <v>284</v>
      </c>
      <c r="G24" s="62"/>
      <c r="H24" s="128">
        <f>K24</f>
        <v>676900</v>
      </c>
      <c r="I24" s="101" t="s">
        <v>76</v>
      </c>
      <c r="J24" s="104"/>
      <c r="K24" s="105">
        <v>676900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2" t="s">
        <v>81</v>
      </c>
      <c r="E28" s="5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320" t="s">
        <v>280</v>
      </c>
      <c r="B29" s="62"/>
      <c r="C29" s="63" t="s">
        <v>50</v>
      </c>
      <c r="D29" s="6" t="s">
        <v>81</v>
      </c>
      <c r="E29" s="321"/>
      <c r="F29" s="308" t="s">
        <v>284</v>
      </c>
      <c r="G29" s="9"/>
      <c r="H29" s="126">
        <f>K29</f>
        <v>80000</v>
      </c>
      <c r="I29" s="107"/>
      <c r="J29" s="322"/>
      <c r="K29" s="109">
        <v>80000</v>
      </c>
      <c r="L29" s="323"/>
      <c r="M29" s="323"/>
      <c r="N29" s="107"/>
      <c r="O29" s="7"/>
    </row>
    <row r="30" spans="1:15" ht="55.5" customHeight="1" hidden="1">
      <c r="A30" s="699" t="s">
        <v>48</v>
      </c>
      <c r="B30" s="62"/>
      <c r="C30" s="63" t="s">
        <v>50</v>
      </c>
      <c r="D30" s="6" t="s">
        <v>81</v>
      </c>
      <c r="E30" s="324"/>
      <c r="F30" s="693" t="s">
        <v>209</v>
      </c>
      <c r="G30" s="9"/>
      <c r="I30" s="107" t="s">
        <v>76</v>
      </c>
      <c r="J30" s="108"/>
      <c r="K30" s="310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59" t="s">
        <v>212</v>
      </c>
      <c r="E31" s="59"/>
      <c r="F31" s="697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59" t="s">
        <v>214</v>
      </c>
      <c r="E32" s="59"/>
      <c r="F32" s="697"/>
      <c r="G32" s="9"/>
      <c r="H32" s="126">
        <f aca="true" t="shared" si="1" ref="H32:H43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59" t="s">
        <v>215</v>
      </c>
      <c r="E33" s="59"/>
      <c r="F33" s="697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59" t="s">
        <v>216</v>
      </c>
      <c r="E34" s="5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 t="s">
        <v>155</v>
      </c>
      <c r="B35" s="62"/>
      <c r="C35" s="698" t="s">
        <v>51</v>
      </c>
      <c r="D35" s="62" t="s">
        <v>81</v>
      </c>
      <c r="E35" s="59"/>
      <c r="F35" s="693" t="s">
        <v>209</v>
      </c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59" t="s">
        <v>196</v>
      </c>
      <c r="E36" s="59"/>
      <c r="F36" s="697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hidden="1">
      <c r="A37" s="711"/>
      <c r="B37" s="62"/>
      <c r="C37" s="698"/>
      <c r="D37" s="62" t="s">
        <v>166</v>
      </c>
      <c r="E37" s="59"/>
      <c r="F37" s="694"/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63.75" hidden="1">
      <c r="A38" s="65" t="s">
        <v>43</v>
      </c>
      <c r="B38" s="66"/>
      <c r="C38" s="61" t="s">
        <v>42</v>
      </c>
      <c r="D38" s="62" t="s">
        <v>162</v>
      </c>
      <c r="E38" s="59"/>
      <c r="F38" s="6" t="s">
        <v>209</v>
      </c>
      <c r="G38" s="9"/>
      <c r="H38" s="126">
        <f t="shared" si="1"/>
        <v>0</v>
      </c>
      <c r="I38" s="107" t="s">
        <v>76</v>
      </c>
      <c r="J38" s="78"/>
      <c r="K38" s="78"/>
      <c r="L38" s="26"/>
      <c r="M38" s="26"/>
      <c r="N38" s="107" t="s">
        <v>76</v>
      </c>
      <c r="O38" s="7"/>
    </row>
    <row r="39" spans="1:15" ht="25.5" hidden="1">
      <c r="A39" s="65" t="s">
        <v>225</v>
      </c>
      <c r="B39" s="66"/>
      <c r="C39" s="59" t="s">
        <v>203</v>
      </c>
      <c r="D39" s="59" t="s">
        <v>81</v>
      </c>
      <c r="E39" s="59"/>
      <c r="F39" s="6" t="s">
        <v>209</v>
      </c>
      <c r="G39" s="9"/>
      <c r="H39" s="126">
        <f t="shared" si="1"/>
        <v>0</v>
      </c>
      <c r="I39" s="107" t="s">
        <v>76</v>
      </c>
      <c r="J39" s="78"/>
      <c r="K39" s="78"/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15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21857739</v>
      </c>
      <c r="I44" s="130">
        <f>I50+I74+I92</f>
        <v>21046839</v>
      </c>
      <c r="J44" s="130"/>
      <c r="K44" s="130">
        <f>K92+K96+K98+K106+K114+K117+K119+K100+K122+K124+K126</f>
        <v>780900</v>
      </c>
      <c r="L44" s="130"/>
      <c r="M44" s="130"/>
      <c r="N44" s="130">
        <f>N128</f>
        <v>30000</v>
      </c>
      <c r="O44" s="95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 hidden="1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684" t="s">
        <v>12</v>
      </c>
      <c r="B63" s="9"/>
      <c r="C63" s="693" t="s">
        <v>18</v>
      </c>
      <c r="D63" s="9" t="s">
        <v>81</v>
      </c>
      <c r="E63" s="693" t="s">
        <v>108</v>
      </c>
      <c r="F63" s="693" t="s">
        <v>116</v>
      </c>
      <c r="G63" s="693" t="s">
        <v>115</v>
      </c>
      <c r="H63" s="126">
        <f t="shared" si="2"/>
        <v>272300</v>
      </c>
      <c r="I63" s="113">
        <f>216300+56000</f>
        <v>272300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686"/>
      <c r="B64" s="9"/>
      <c r="C64" s="694"/>
      <c r="D64" s="14">
        <v>14130030000000000</v>
      </c>
      <c r="E64" s="694"/>
      <c r="F64" s="694"/>
      <c r="G64" s="694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 t="s">
        <v>109</v>
      </c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 hidden="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0</v>
      </c>
      <c r="I68" s="113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20000</v>
      </c>
      <c r="I70" s="79">
        <v>20000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85" t="s">
        <v>243</v>
      </c>
      <c r="B71" s="9"/>
      <c r="C71" s="9" t="s">
        <v>18</v>
      </c>
      <c r="D71" s="14">
        <v>14130030000000000</v>
      </c>
      <c r="E71" s="9" t="s">
        <v>108</v>
      </c>
      <c r="F71" s="9" t="s">
        <v>244</v>
      </c>
      <c r="G71" s="9" t="s">
        <v>115</v>
      </c>
      <c r="H71" s="126">
        <f t="shared" si="2"/>
        <v>20000</v>
      </c>
      <c r="I71" s="79">
        <v>20000</v>
      </c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3949039</v>
      </c>
      <c r="I74" s="97">
        <f>SUM(I75:I91)</f>
        <v>3949039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311" t="s">
        <v>9</v>
      </c>
      <c r="B75" s="313"/>
      <c r="C75" s="313" t="s">
        <v>20</v>
      </c>
      <c r="D75" s="313" t="s">
        <v>81</v>
      </c>
      <c r="E75" s="313" t="s">
        <v>108</v>
      </c>
      <c r="F75" s="313" t="s">
        <v>120</v>
      </c>
      <c r="G75" s="313" t="s">
        <v>115</v>
      </c>
      <c r="H75" s="314">
        <f>I75</f>
        <v>934139</v>
      </c>
      <c r="I75" s="309">
        <f>1083500-149361</f>
        <v>934139</v>
      </c>
      <c r="J75" s="100"/>
      <c r="K75" s="315" t="s">
        <v>76</v>
      </c>
      <c r="L75" s="315" t="s">
        <v>76</v>
      </c>
      <c r="M75" s="315" t="s">
        <v>76</v>
      </c>
      <c r="N75" s="315" t="s">
        <v>76</v>
      </c>
      <c r="O75" s="6" t="s">
        <v>76</v>
      </c>
    </row>
    <row r="76" spans="1:15" s="25" customFormat="1" ht="15" customHeight="1">
      <c r="A76" s="357" t="s">
        <v>8</v>
      </c>
      <c r="B76" s="313"/>
      <c r="C76" s="313" t="s">
        <v>20</v>
      </c>
      <c r="D76" s="313" t="s">
        <v>81</v>
      </c>
      <c r="E76" s="358" t="s">
        <v>108</v>
      </c>
      <c r="F76" s="358" t="s">
        <v>128</v>
      </c>
      <c r="G76" s="358" t="s">
        <v>115</v>
      </c>
      <c r="H76" s="314">
        <f>I76</f>
        <v>17547.48</v>
      </c>
      <c r="I76" s="309">
        <v>17547.48</v>
      </c>
      <c r="J76" s="100"/>
      <c r="K76" s="315"/>
      <c r="L76" s="315"/>
      <c r="M76" s="315"/>
      <c r="N76" s="315"/>
      <c r="O76" s="6"/>
    </row>
    <row r="77" spans="1:15" s="25" customFormat="1" ht="15" customHeight="1">
      <c r="A77" s="691" t="s">
        <v>11</v>
      </c>
      <c r="B77" s="9"/>
      <c r="C77" s="693" t="s">
        <v>20</v>
      </c>
      <c r="D77" s="9" t="s">
        <v>81</v>
      </c>
      <c r="E77" s="693" t="s">
        <v>108</v>
      </c>
      <c r="F77" s="693" t="s">
        <v>121</v>
      </c>
      <c r="G77" s="693" t="s">
        <v>115</v>
      </c>
      <c r="H77" s="126">
        <f aca="true" t="shared" si="3" ref="H77:H91">I77</f>
        <v>246900</v>
      </c>
      <c r="I77" s="112">
        <v>246900</v>
      </c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 t="s">
        <v>76</v>
      </c>
    </row>
    <row r="78" spans="1:15" s="25" customFormat="1" ht="12.75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3"/>
        <v>2020000</v>
      </c>
      <c r="I78" s="112">
        <v>2020000</v>
      </c>
      <c r="J78" s="114"/>
      <c r="K78" s="101" t="s">
        <v>76</v>
      </c>
      <c r="L78" s="101"/>
      <c r="M78" s="101"/>
      <c r="N78" s="101" t="s">
        <v>76</v>
      </c>
      <c r="O78" s="6"/>
    </row>
    <row r="79" spans="1:15" s="25" customFormat="1" ht="12.75">
      <c r="A79" s="729" t="s">
        <v>12</v>
      </c>
      <c r="B79" s="9"/>
      <c r="C79" s="693" t="s">
        <v>20</v>
      </c>
      <c r="D79" s="313" t="s">
        <v>81</v>
      </c>
      <c r="E79" s="693" t="s">
        <v>108</v>
      </c>
      <c r="F79" s="693" t="s">
        <v>116</v>
      </c>
      <c r="G79" s="693" t="s">
        <v>115</v>
      </c>
      <c r="H79" s="314">
        <f t="shared" si="3"/>
        <v>82352.52</v>
      </c>
      <c r="I79" s="309">
        <f>99900-17547.48</f>
        <v>82352.52</v>
      </c>
      <c r="J79" s="78"/>
      <c r="K79" s="315" t="s">
        <v>76</v>
      </c>
      <c r="L79" s="315" t="s">
        <v>76</v>
      </c>
      <c r="M79" s="315" t="s">
        <v>76</v>
      </c>
      <c r="N79" s="315" t="s">
        <v>76</v>
      </c>
      <c r="O79" s="6" t="s">
        <v>76</v>
      </c>
    </row>
    <row r="80" spans="1:15" s="25" customFormat="1" ht="12.75">
      <c r="A80" s="730"/>
      <c r="B80" s="9"/>
      <c r="C80" s="694"/>
      <c r="D80" s="14">
        <v>14130030000000000</v>
      </c>
      <c r="E80" s="694"/>
      <c r="F80" s="694"/>
      <c r="G80" s="694"/>
      <c r="H80" s="126">
        <f t="shared" si="3"/>
        <v>534800</v>
      </c>
      <c r="I80" s="115">
        <v>534800</v>
      </c>
      <c r="J80" s="78"/>
      <c r="K80" s="107" t="s">
        <v>76</v>
      </c>
      <c r="L80" s="107"/>
      <c r="M80" s="107"/>
      <c r="N80" s="107" t="s">
        <v>76</v>
      </c>
      <c r="O80" s="6"/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122</v>
      </c>
      <c r="H81" s="126">
        <f t="shared" si="3"/>
        <v>55400</v>
      </c>
      <c r="I81" s="78">
        <v>55400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22" t="s">
        <v>249</v>
      </c>
      <c r="B82" s="9"/>
      <c r="C82" s="9" t="s">
        <v>20</v>
      </c>
      <c r="D82" s="9" t="s">
        <v>81</v>
      </c>
      <c r="E82" s="9" t="s">
        <v>108</v>
      </c>
      <c r="F82" s="9" t="s">
        <v>206</v>
      </c>
      <c r="G82" s="9" t="s">
        <v>250</v>
      </c>
      <c r="H82" s="126">
        <f t="shared" si="3"/>
        <v>4800</v>
      </c>
      <c r="I82" s="79">
        <v>4800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 hidden="1">
      <c r="A83" s="22" t="s">
        <v>14</v>
      </c>
      <c r="B83" s="9"/>
      <c r="C83" s="9" t="s">
        <v>20</v>
      </c>
      <c r="D83" s="9" t="s">
        <v>81</v>
      </c>
      <c r="E83" s="9" t="s">
        <v>124</v>
      </c>
      <c r="F83" s="9" t="s">
        <v>118</v>
      </c>
      <c r="G83" s="9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51" hidden="1">
      <c r="A84" s="82" t="s">
        <v>237</v>
      </c>
      <c r="B84" s="9"/>
      <c r="C84" s="83" t="s">
        <v>18</v>
      </c>
      <c r="D84" s="9" t="s">
        <v>81</v>
      </c>
      <c r="E84" s="83" t="s">
        <v>124</v>
      </c>
      <c r="F84" s="84" t="s">
        <v>238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38.25" hidden="1">
      <c r="A85" s="82" t="s">
        <v>239</v>
      </c>
      <c r="B85" s="9"/>
      <c r="C85" s="83" t="s">
        <v>18</v>
      </c>
      <c r="D85" s="9" t="s">
        <v>81</v>
      </c>
      <c r="E85" s="83" t="s">
        <v>124</v>
      </c>
      <c r="F85" s="84" t="s">
        <v>240</v>
      </c>
      <c r="G85" s="84" t="s">
        <v>115</v>
      </c>
      <c r="H85" s="126">
        <f t="shared" si="3"/>
        <v>0</v>
      </c>
      <c r="I85" s="78"/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85" t="s">
        <v>248</v>
      </c>
      <c r="B86" s="9"/>
      <c r="C86" s="9" t="s">
        <v>20</v>
      </c>
      <c r="D86" s="9" t="s">
        <v>81</v>
      </c>
      <c r="E86" s="83" t="s">
        <v>108</v>
      </c>
      <c r="F86" s="10" t="s">
        <v>247</v>
      </c>
      <c r="G86" s="84" t="s">
        <v>115</v>
      </c>
      <c r="H86" s="126">
        <f t="shared" si="3"/>
        <v>10000</v>
      </c>
      <c r="I86" s="78">
        <v>10000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25.5">
      <c r="A87" s="22" t="s">
        <v>241</v>
      </c>
      <c r="B87" s="9"/>
      <c r="C87" s="9" t="s">
        <v>20</v>
      </c>
      <c r="D87" s="9" t="s">
        <v>81</v>
      </c>
      <c r="E87" s="9" t="s">
        <v>108</v>
      </c>
      <c r="F87" s="9" t="s">
        <v>242</v>
      </c>
      <c r="G87" s="9" t="s">
        <v>115</v>
      </c>
      <c r="H87" s="126">
        <f t="shared" si="3"/>
        <v>33100</v>
      </c>
      <c r="I87" s="78">
        <v>33100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25.5">
      <c r="A88" s="85" t="s">
        <v>243</v>
      </c>
      <c r="B88" s="57"/>
      <c r="C88" s="9" t="s">
        <v>20</v>
      </c>
      <c r="D88" s="9" t="s">
        <v>81</v>
      </c>
      <c r="E88" s="9" t="s">
        <v>108</v>
      </c>
      <c r="F88" s="9" t="s">
        <v>244</v>
      </c>
      <c r="G88" s="9" t="s">
        <v>115</v>
      </c>
      <c r="H88" s="126">
        <f t="shared" si="3"/>
        <v>10000</v>
      </c>
      <c r="I88" s="78">
        <v>10000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/>
      <c r="B90" s="9"/>
      <c r="C90" s="9"/>
      <c r="D90" s="9"/>
      <c r="E90" s="9"/>
      <c r="F90" s="9"/>
      <c r="G90" s="9"/>
      <c r="H90" s="126"/>
      <c r="I90" s="78"/>
      <c r="J90" s="78"/>
      <c r="K90" s="107"/>
      <c r="L90" s="107"/>
      <c r="M90" s="107"/>
      <c r="N90" s="107"/>
      <c r="O90" s="6"/>
    </row>
    <row r="91" spans="1:15" s="25" customFormat="1" ht="12.75" hidden="1">
      <c r="A91" s="22" t="s">
        <v>188</v>
      </c>
      <c r="B91" s="9"/>
      <c r="C91" s="9" t="s">
        <v>20</v>
      </c>
      <c r="D91" s="9" t="s">
        <v>81</v>
      </c>
      <c r="E91" s="9" t="s">
        <v>108</v>
      </c>
      <c r="F91" s="9" t="s">
        <v>119</v>
      </c>
      <c r="G91" s="9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3.5">
      <c r="A92" s="681" t="s">
        <v>125</v>
      </c>
      <c r="B92" s="683"/>
      <c r="C92" s="27" t="s">
        <v>21</v>
      </c>
      <c r="D92" s="3"/>
      <c r="E92" s="27"/>
      <c r="F92" s="3"/>
      <c r="G92" s="3"/>
      <c r="H92" s="124">
        <f>K92</f>
        <v>676900</v>
      </c>
      <c r="I92" s="98"/>
      <c r="J92" s="97"/>
      <c r="K92" s="97">
        <f>K95</f>
        <v>676900</v>
      </c>
      <c r="L92" s="110"/>
      <c r="M92" s="110"/>
      <c r="N92" s="111" t="s">
        <v>107</v>
      </c>
      <c r="O92" s="28"/>
    </row>
    <row r="93" spans="1:15" s="25" customFormat="1" ht="12.75" hidden="1">
      <c r="A93" s="22" t="s">
        <v>4</v>
      </c>
      <c r="B93" s="9"/>
      <c r="C93" s="9"/>
      <c r="D93" s="9"/>
      <c r="E93" s="9"/>
      <c r="F93" s="9" t="s">
        <v>99</v>
      </c>
      <c r="G93" s="9" t="s">
        <v>109</v>
      </c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 hidden="1">
      <c r="A94" s="22" t="s">
        <v>5</v>
      </c>
      <c r="B94" s="9"/>
      <c r="C94" s="9"/>
      <c r="D94" s="9"/>
      <c r="E94" s="9"/>
      <c r="F94" s="9"/>
      <c r="G94" s="9"/>
      <c r="H94" s="126">
        <f>I94</f>
        <v>0</v>
      </c>
      <c r="I94" s="78"/>
      <c r="J94" s="78"/>
      <c r="K94" s="116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3.5">
      <c r="A95" s="22" t="s">
        <v>12</v>
      </c>
      <c r="B95" s="9"/>
      <c r="C95" s="41" t="s">
        <v>21</v>
      </c>
      <c r="D95" s="9" t="s">
        <v>89</v>
      </c>
      <c r="E95" s="9" t="s">
        <v>126</v>
      </c>
      <c r="F95" s="9" t="s">
        <v>116</v>
      </c>
      <c r="G95" s="9" t="s">
        <v>115</v>
      </c>
      <c r="H95" s="126">
        <f aca="true" t="shared" si="4" ref="H95:H105">K95</f>
        <v>676900</v>
      </c>
      <c r="I95" s="107" t="s">
        <v>76</v>
      </c>
      <c r="J95" s="78"/>
      <c r="K95" s="105">
        <v>676900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8.75" customHeight="1" hidden="1">
      <c r="A96" s="687" t="s">
        <v>127</v>
      </c>
      <c r="B96" s="688"/>
      <c r="C96" s="27" t="s">
        <v>22</v>
      </c>
      <c r="D96" s="3"/>
      <c r="E96" s="3"/>
      <c r="F96" s="3"/>
      <c r="G96" s="3"/>
      <c r="H96" s="131">
        <f t="shared" si="4"/>
        <v>0</v>
      </c>
      <c r="I96" s="117"/>
      <c r="J96" s="110"/>
      <c r="K96" s="118">
        <f>K97</f>
        <v>0</v>
      </c>
      <c r="L96" s="117"/>
      <c r="M96" s="117"/>
      <c r="N96" s="117"/>
      <c r="O96" s="6"/>
    </row>
    <row r="97" spans="1:15" s="25" customFormat="1" ht="13.5" customHeight="1" hidden="1">
      <c r="A97" s="22" t="s">
        <v>12</v>
      </c>
      <c r="B97" s="40"/>
      <c r="C97" s="41" t="s">
        <v>22</v>
      </c>
      <c r="D97" s="9" t="s">
        <v>81</v>
      </c>
      <c r="E97" s="9" t="s">
        <v>108</v>
      </c>
      <c r="F97" s="9" t="s">
        <v>116</v>
      </c>
      <c r="G97" s="9" t="s">
        <v>115</v>
      </c>
      <c r="H97" s="126">
        <f t="shared" si="4"/>
        <v>0</v>
      </c>
      <c r="I97" s="107" t="s">
        <v>76</v>
      </c>
      <c r="J97" s="78"/>
      <c r="K97" s="116"/>
      <c r="L97" s="107"/>
      <c r="M97" s="107"/>
      <c r="N97" s="107" t="s">
        <v>76</v>
      </c>
      <c r="O97" s="6"/>
    </row>
    <row r="98" spans="1:15" s="25" customFormat="1" ht="28.5" customHeight="1">
      <c r="A98" s="39" t="s">
        <v>190</v>
      </c>
      <c r="B98" s="55"/>
      <c r="C98" s="27" t="s">
        <v>41</v>
      </c>
      <c r="D98" s="3"/>
      <c r="E98" s="3"/>
      <c r="F98" s="3"/>
      <c r="G98" s="3"/>
      <c r="H98" s="124">
        <f t="shared" si="4"/>
        <v>24000</v>
      </c>
      <c r="I98" s="119"/>
      <c r="J98" s="97"/>
      <c r="K98" s="120">
        <f>K99</f>
        <v>24000</v>
      </c>
      <c r="L98" s="117"/>
      <c r="M98" s="117"/>
      <c r="N98" s="117"/>
      <c r="O98" s="6"/>
    </row>
    <row r="99" spans="1:15" s="25" customFormat="1" ht="12.75">
      <c r="A99" s="22" t="s">
        <v>12</v>
      </c>
      <c r="B99" s="40"/>
      <c r="C99" s="9" t="s">
        <v>41</v>
      </c>
      <c r="D99" s="9" t="s">
        <v>81</v>
      </c>
      <c r="E99" s="9" t="s">
        <v>154</v>
      </c>
      <c r="F99" s="9" t="s">
        <v>116</v>
      </c>
      <c r="G99" s="9" t="s">
        <v>115</v>
      </c>
      <c r="H99" s="126">
        <f t="shared" si="4"/>
        <v>24000</v>
      </c>
      <c r="I99" s="107" t="s">
        <v>76</v>
      </c>
      <c r="J99" s="78"/>
      <c r="K99" s="116">
        <v>24000</v>
      </c>
      <c r="L99" s="107"/>
      <c r="M99" s="107"/>
      <c r="N99" s="107" t="s">
        <v>76</v>
      </c>
      <c r="O99" s="6"/>
    </row>
    <row r="100" spans="1:15" s="25" customFormat="1" ht="54.75" customHeight="1">
      <c r="A100" s="681" t="s">
        <v>334</v>
      </c>
      <c r="B100" s="683"/>
      <c r="C100" s="27" t="s">
        <v>211</v>
      </c>
      <c r="D100" s="3"/>
      <c r="E100" s="3"/>
      <c r="F100" s="3"/>
      <c r="G100" s="3"/>
      <c r="H100" s="124">
        <f t="shared" si="4"/>
        <v>80000</v>
      </c>
      <c r="I100" s="117" t="s">
        <v>76</v>
      </c>
      <c r="J100" s="110"/>
      <c r="K100" s="97">
        <f>SUM(K101:K105)</f>
        <v>80000</v>
      </c>
      <c r="L100" s="117"/>
      <c r="M100" s="117"/>
      <c r="N100" s="117" t="s">
        <v>76</v>
      </c>
      <c r="O100" s="6"/>
    </row>
    <row r="101" spans="1:15" s="25" customFormat="1" ht="12.75">
      <c r="A101" s="22" t="s">
        <v>12</v>
      </c>
      <c r="B101" s="57"/>
      <c r="C101" s="9" t="s">
        <v>204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80000</v>
      </c>
      <c r="I101" s="107" t="s">
        <v>76</v>
      </c>
      <c r="J101" s="107"/>
      <c r="K101" s="116">
        <v>80000</v>
      </c>
      <c r="L101" s="107"/>
      <c r="M101" s="107"/>
      <c r="N101" s="107" t="s">
        <v>76</v>
      </c>
      <c r="O101" s="6"/>
    </row>
    <row r="102" spans="1:15" s="25" customFormat="1" ht="12.75" hidden="1">
      <c r="A102" s="22" t="s">
        <v>213</v>
      </c>
      <c r="B102" s="9"/>
      <c r="C102" s="9" t="s">
        <v>211</v>
      </c>
      <c r="D102" s="9" t="s">
        <v>212</v>
      </c>
      <c r="E102" s="9" t="s">
        <v>108</v>
      </c>
      <c r="F102" s="9" t="s">
        <v>116</v>
      </c>
      <c r="G102" s="9" t="s">
        <v>115</v>
      </c>
      <c r="H102" s="126">
        <f t="shared" si="4"/>
        <v>0</v>
      </c>
      <c r="I102" s="107" t="s">
        <v>76</v>
      </c>
      <c r="J102" s="78"/>
      <c r="K102" s="116"/>
      <c r="L102" s="107"/>
      <c r="M102" s="107"/>
      <c r="N102" s="107" t="s">
        <v>76</v>
      </c>
      <c r="O102" s="64" t="s">
        <v>76</v>
      </c>
    </row>
    <row r="103" spans="1:15" s="25" customFormat="1" ht="12.75" hidden="1">
      <c r="A103" s="61" t="s">
        <v>213</v>
      </c>
      <c r="B103" s="59"/>
      <c r="C103" s="59" t="s">
        <v>211</v>
      </c>
      <c r="D103" s="59" t="s">
        <v>214</v>
      </c>
      <c r="E103" s="59" t="s">
        <v>108</v>
      </c>
      <c r="F103" s="59" t="s">
        <v>116</v>
      </c>
      <c r="G103" s="59" t="s">
        <v>115</v>
      </c>
      <c r="H103" s="127">
        <f t="shared" si="4"/>
        <v>0</v>
      </c>
      <c r="I103" s="101" t="s">
        <v>76</v>
      </c>
      <c r="J103" s="100"/>
      <c r="K103" s="116"/>
      <c r="L103" s="101"/>
      <c r="M103" s="101"/>
      <c r="N103" s="101" t="s">
        <v>76</v>
      </c>
      <c r="O103" s="6"/>
    </row>
    <row r="104" spans="1:15" s="25" customFormat="1" ht="12.75" hidden="1">
      <c r="A104" s="61" t="s">
        <v>213</v>
      </c>
      <c r="B104" s="59"/>
      <c r="C104" s="59" t="s">
        <v>211</v>
      </c>
      <c r="D104" s="59" t="s">
        <v>215</v>
      </c>
      <c r="E104" s="59" t="s">
        <v>108</v>
      </c>
      <c r="F104" s="59" t="s">
        <v>116</v>
      </c>
      <c r="G104" s="59" t="s">
        <v>115</v>
      </c>
      <c r="H104" s="127">
        <f t="shared" si="4"/>
        <v>0</v>
      </c>
      <c r="I104" s="101" t="s">
        <v>76</v>
      </c>
      <c r="J104" s="100"/>
      <c r="K104" s="116"/>
      <c r="L104" s="101"/>
      <c r="M104" s="101"/>
      <c r="N104" s="101" t="s">
        <v>76</v>
      </c>
      <c r="O104" s="6"/>
    </row>
    <row r="105" spans="1:15" s="25" customFormat="1" ht="12.75" hidden="1">
      <c r="A105" s="61" t="s">
        <v>213</v>
      </c>
      <c r="B105" s="59"/>
      <c r="C105" s="59" t="s">
        <v>211</v>
      </c>
      <c r="D105" s="59" t="s">
        <v>216</v>
      </c>
      <c r="E105" s="59" t="s">
        <v>108</v>
      </c>
      <c r="F105" s="59" t="s">
        <v>116</v>
      </c>
      <c r="G105" s="59" t="s">
        <v>115</v>
      </c>
      <c r="H105" s="127">
        <f t="shared" si="4"/>
        <v>0</v>
      </c>
      <c r="I105" s="101" t="s">
        <v>76</v>
      </c>
      <c r="J105" s="100"/>
      <c r="K105" s="116"/>
      <c r="L105" s="101"/>
      <c r="M105" s="101"/>
      <c r="N105" s="101" t="s">
        <v>76</v>
      </c>
      <c r="O105" s="6"/>
    </row>
    <row r="106" spans="1:15" s="25" customFormat="1" ht="41.25" customHeight="1" hidden="1">
      <c r="A106" s="681" t="s">
        <v>217</v>
      </c>
      <c r="B106" s="683"/>
      <c r="C106" s="27" t="s">
        <v>51</v>
      </c>
      <c r="D106" s="43"/>
      <c r="E106" s="42"/>
      <c r="F106" s="42"/>
      <c r="G106" s="42"/>
      <c r="H106" s="124"/>
      <c r="I106" s="119"/>
      <c r="J106" s="97"/>
      <c r="K106" s="120">
        <f>SUM(K108:K113)</f>
        <v>0</v>
      </c>
      <c r="L106" s="119"/>
      <c r="M106" s="119"/>
      <c r="N106" s="119"/>
      <c r="O106" s="6"/>
    </row>
    <row r="107" spans="1:15" s="25" customFormat="1" ht="12.75" hidden="1">
      <c r="A107" s="61" t="s">
        <v>11</v>
      </c>
      <c r="B107" s="59"/>
      <c r="C107" s="59" t="s">
        <v>51</v>
      </c>
      <c r="D107" s="59" t="s">
        <v>81</v>
      </c>
      <c r="E107" s="59" t="s">
        <v>218</v>
      </c>
      <c r="F107" s="59" t="s">
        <v>121</v>
      </c>
      <c r="G107" s="59" t="s">
        <v>115</v>
      </c>
      <c r="H107" s="127">
        <f aca="true" t="shared" si="5" ref="H107:H113">K107</f>
        <v>0</v>
      </c>
      <c r="I107" s="101" t="s">
        <v>76</v>
      </c>
      <c r="J107" s="102"/>
      <c r="K107" s="104"/>
      <c r="L107" s="102"/>
      <c r="M107" s="100"/>
      <c r="N107" s="101" t="s">
        <v>76</v>
      </c>
      <c r="O107" s="6"/>
    </row>
    <row r="108" spans="1:15" s="25" customFormat="1" ht="12.75" hidden="1">
      <c r="A108" s="684" t="s">
        <v>12</v>
      </c>
      <c r="B108" s="9"/>
      <c r="C108" s="678" t="s">
        <v>51</v>
      </c>
      <c r="D108" s="9" t="s">
        <v>81</v>
      </c>
      <c r="E108" s="678" t="s">
        <v>218</v>
      </c>
      <c r="F108" s="678" t="s">
        <v>116</v>
      </c>
      <c r="G108" s="678" t="s">
        <v>115</v>
      </c>
      <c r="H108" s="126">
        <f t="shared" si="5"/>
        <v>0</v>
      </c>
      <c r="I108" s="107" t="s">
        <v>76</v>
      </c>
      <c r="J108" s="107"/>
      <c r="K108" s="116"/>
      <c r="L108" s="101"/>
      <c r="M108" s="101"/>
      <c r="N108" s="101" t="s">
        <v>76</v>
      </c>
      <c r="O108" s="6"/>
    </row>
    <row r="109" spans="1:15" s="25" customFormat="1" ht="12.75" hidden="1">
      <c r="A109" s="685"/>
      <c r="B109" s="9"/>
      <c r="C109" s="679"/>
      <c r="D109" s="9" t="s">
        <v>219</v>
      </c>
      <c r="E109" s="679"/>
      <c r="F109" s="679"/>
      <c r="G109" s="679"/>
      <c r="H109" s="126">
        <f t="shared" si="5"/>
        <v>0</v>
      </c>
      <c r="I109" s="107" t="s">
        <v>76</v>
      </c>
      <c r="J109" s="107"/>
      <c r="K109" s="116"/>
      <c r="L109" s="101"/>
      <c r="M109" s="101"/>
      <c r="N109" s="101" t="s">
        <v>76</v>
      </c>
      <c r="O109" s="6"/>
    </row>
    <row r="110" spans="1:15" s="25" customFormat="1" ht="12.75" hidden="1">
      <c r="A110" s="686"/>
      <c r="B110" s="9"/>
      <c r="C110" s="680"/>
      <c r="D110" s="9" t="s">
        <v>196</v>
      </c>
      <c r="E110" s="680"/>
      <c r="F110" s="680"/>
      <c r="G110" s="680"/>
      <c r="H110" s="126">
        <f t="shared" si="5"/>
        <v>0</v>
      </c>
      <c r="I110" s="107"/>
      <c r="J110" s="107"/>
      <c r="K110" s="116"/>
      <c r="L110" s="101"/>
      <c r="M110" s="101"/>
      <c r="N110" s="101"/>
      <c r="O110" s="6"/>
    </row>
    <row r="111" spans="1:15" s="25" customFormat="1" ht="25.5" hidden="1">
      <c r="A111" s="22" t="s">
        <v>220</v>
      </c>
      <c r="B111" s="9"/>
      <c r="C111" s="9" t="s">
        <v>51</v>
      </c>
      <c r="D111" s="9" t="s">
        <v>81</v>
      </c>
      <c r="E111" s="9" t="s">
        <v>218</v>
      </c>
      <c r="F111" s="9" t="s">
        <v>118</v>
      </c>
      <c r="G111" s="9" t="s">
        <v>115</v>
      </c>
      <c r="H111" s="126">
        <f>K111</f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2.75" hidden="1">
      <c r="A112" s="684" t="s">
        <v>221</v>
      </c>
      <c r="B112" s="9"/>
      <c r="C112" s="678" t="s">
        <v>51</v>
      </c>
      <c r="D112" s="9" t="s">
        <v>81</v>
      </c>
      <c r="E112" s="678" t="s">
        <v>218</v>
      </c>
      <c r="F112" s="678" t="s">
        <v>119</v>
      </c>
      <c r="G112" s="678" t="s">
        <v>115</v>
      </c>
      <c r="H112" s="126">
        <f t="shared" si="5"/>
        <v>0</v>
      </c>
      <c r="I112" s="107" t="s">
        <v>76</v>
      </c>
      <c r="J112" s="107"/>
      <c r="K112" s="116"/>
      <c r="L112" s="101"/>
      <c r="M112" s="101"/>
      <c r="N112" s="101" t="s">
        <v>76</v>
      </c>
      <c r="O112" s="6"/>
    </row>
    <row r="113" spans="1:15" s="25" customFormat="1" ht="12.75" hidden="1">
      <c r="A113" s="686"/>
      <c r="B113" s="9"/>
      <c r="C113" s="680"/>
      <c r="D113" s="9" t="s">
        <v>196</v>
      </c>
      <c r="E113" s="680"/>
      <c r="F113" s="680"/>
      <c r="G113" s="680"/>
      <c r="H113" s="126">
        <f t="shared" si="5"/>
        <v>0</v>
      </c>
      <c r="I113" s="107" t="s">
        <v>76</v>
      </c>
      <c r="J113" s="107"/>
      <c r="K113" s="116"/>
      <c r="L113" s="101"/>
      <c r="M113" s="101"/>
      <c r="N113" s="101" t="s">
        <v>76</v>
      </c>
      <c r="O113" s="6"/>
    </row>
    <row r="114" spans="1:15" s="25" customFormat="1" ht="15" customHeight="1" hidden="1">
      <c r="A114" s="681" t="s">
        <v>210</v>
      </c>
      <c r="B114" s="683"/>
      <c r="C114" s="27" t="s">
        <v>163</v>
      </c>
      <c r="D114" s="44"/>
      <c r="E114" s="3"/>
      <c r="F114" s="3"/>
      <c r="G114" s="3"/>
      <c r="H114" s="131"/>
      <c r="I114" s="117"/>
      <c r="J114" s="110"/>
      <c r="K114" s="120">
        <f>K115+K116</f>
        <v>0</v>
      </c>
      <c r="L114" s="117"/>
      <c r="M114" s="117"/>
      <c r="N114" s="117"/>
      <c r="O114" s="6"/>
    </row>
    <row r="115" spans="1:15" s="25" customFormat="1" ht="15" customHeight="1" hidden="1">
      <c r="A115" s="22" t="s">
        <v>11</v>
      </c>
      <c r="B115" s="40"/>
      <c r="C115" s="41" t="s">
        <v>163</v>
      </c>
      <c r="D115" s="6" t="s">
        <v>162</v>
      </c>
      <c r="E115" s="9" t="s">
        <v>157</v>
      </c>
      <c r="F115" s="46">
        <v>225</v>
      </c>
      <c r="G115" s="9" t="s">
        <v>115</v>
      </c>
      <c r="H115" s="129" t="s">
        <v>76</v>
      </c>
      <c r="I115" s="107" t="s">
        <v>76</v>
      </c>
      <c r="J115" s="78"/>
      <c r="K115" s="116"/>
      <c r="L115" s="107"/>
      <c r="M115" s="107"/>
      <c r="N115" s="107" t="s">
        <v>76</v>
      </c>
      <c r="O115" s="6"/>
    </row>
    <row r="116" spans="1:15" s="25" customFormat="1" ht="13.5" hidden="1">
      <c r="A116" s="47" t="s">
        <v>14</v>
      </c>
      <c r="B116" s="40"/>
      <c r="C116" s="41" t="s">
        <v>163</v>
      </c>
      <c r="D116" s="6" t="s">
        <v>162</v>
      </c>
      <c r="E116" s="9" t="s">
        <v>157</v>
      </c>
      <c r="F116" s="9" t="s">
        <v>118</v>
      </c>
      <c r="G116" s="9" t="s">
        <v>115</v>
      </c>
      <c r="H116" s="126"/>
      <c r="I116" s="107"/>
      <c r="J116" s="78"/>
      <c r="K116" s="116"/>
      <c r="L116" s="107"/>
      <c r="M116" s="107"/>
      <c r="N116" s="107"/>
      <c r="O116" s="6"/>
    </row>
    <row r="117" spans="1:15" s="25" customFormat="1" ht="15" customHeight="1" hidden="1">
      <c r="A117" s="681" t="s">
        <v>177</v>
      </c>
      <c r="B117" s="683"/>
      <c r="C117" s="27" t="s">
        <v>23</v>
      </c>
      <c r="D117" s="44"/>
      <c r="E117" s="3"/>
      <c r="F117" s="3"/>
      <c r="G117" s="3"/>
      <c r="H117" s="131"/>
      <c r="I117" s="117"/>
      <c r="J117" s="110"/>
      <c r="K117" s="118">
        <f>K118</f>
        <v>0</v>
      </c>
      <c r="L117" s="117"/>
      <c r="M117" s="117"/>
      <c r="N117" s="117"/>
      <c r="O117" s="6"/>
    </row>
    <row r="118" spans="1:15" s="25" customFormat="1" ht="15" customHeight="1" hidden="1">
      <c r="A118" s="22" t="s">
        <v>178</v>
      </c>
      <c r="B118" s="9"/>
      <c r="C118" s="9" t="s">
        <v>23</v>
      </c>
      <c r="D118" s="9" t="s">
        <v>81</v>
      </c>
      <c r="E118" s="9" t="s">
        <v>108</v>
      </c>
      <c r="F118" s="9" t="s">
        <v>116</v>
      </c>
      <c r="G118" s="9" t="s">
        <v>115</v>
      </c>
      <c r="H118" s="126"/>
      <c r="I118" s="107"/>
      <c r="J118" s="78"/>
      <c r="K118" s="116"/>
      <c r="L118" s="107"/>
      <c r="M118" s="107"/>
      <c r="N118" s="107"/>
      <c r="O118" s="6"/>
    </row>
    <row r="119" spans="1:15" s="25" customFormat="1" ht="29.25" customHeight="1" hidden="1">
      <c r="A119" s="681" t="s">
        <v>191</v>
      </c>
      <c r="B119" s="683"/>
      <c r="C119" s="27" t="s">
        <v>192</v>
      </c>
      <c r="D119" s="3"/>
      <c r="E119" s="3"/>
      <c r="F119" s="3"/>
      <c r="G119" s="3"/>
      <c r="H119" s="124">
        <f aca="true" t="shared" si="6" ref="H119:H125">K119</f>
        <v>0</v>
      </c>
      <c r="I119" s="119"/>
      <c r="J119" s="97"/>
      <c r="K119" s="97">
        <f>K120+K121</f>
        <v>0</v>
      </c>
      <c r="L119" s="117"/>
      <c r="M119" s="117"/>
      <c r="N119" s="117"/>
      <c r="O119" s="6"/>
    </row>
    <row r="120" spans="1:15" s="25" customFormat="1" ht="16.5" customHeight="1" hidden="1">
      <c r="A120" s="61" t="s">
        <v>195</v>
      </c>
      <c r="B120" s="67"/>
      <c r="C120" s="59" t="s">
        <v>192</v>
      </c>
      <c r="D120" s="59" t="s">
        <v>193</v>
      </c>
      <c r="E120" s="59" t="s">
        <v>108</v>
      </c>
      <c r="F120" s="59" t="s">
        <v>121</v>
      </c>
      <c r="G120" s="59" t="s">
        <v>194</v>
      </c>
      <c r="H120" s="127">
        <f t="shared" si="6"/>
        <v>0</v>
      </c>
      <c r="I120" s="101" t="s">
        <v>76</v>
      </c>
      <c r="J120" s="100"/>
      <c r="K120" s="104"/>
      <c r="L120" s="101"/>
      <c r="M120" s="101"/>
      <c r="N120" s="101" t="s">
        <v>76</v>
      </c>
      <c r="O120" s="6"/>
    </row>
    <row r="121" spans="1:15" s="25" customFormat="1" ht="16.5" customHeight="1" hidden="1">
      <c r="A121" s="61" t="s">
        <v>195</v>
      </c>
      <c r="B121" s="68"/>
      <c r="C121" s="59" t="s">
        <v>192</v>
      </c>
      <c r="D121" s="59" t="s">
        <v>196</v>
      </c>
      <c r="E121" s="59" t="s">
        <v>108</v>
      </c>
      <c r="F121" s="59" t="s">
        <v>121</v>
      </c>
      <c r="G121" s="59" t="s">
        <v>194</v>
      </c>
      <c r="H121" s="127">
        <f t="shared" si="6"/>
        <v>0</v>
      </c>
      <c r="I121" s="101" t="s">
        <v>76</v>
      </c>
      <c r="J121" s="100"/>
      <c r="K121" s="104"/>
      <c r="L121" s="101"/>
      <c r="M121" s="101"/>
      <c r="N121" s="101" t="s">
        <v>76</v>
      </c>
      <c r="O121" s="6"/>
    </row>
    <row r="122" spans="1:15" s="25" customFormat="1" ht="16.5" customHeight="1" hidden="1">
      <c r="A122" s="39" t="s">
        <v>222</v>
      </c>
      <c r="B122" s="38"/>
      <c r="C122" s="27" t="s">
        <v>203</v>
      </c>
      <c r="D122" s="3"/>
      <c r="E122" s="3"/>
      <c r="F122" s="3"/>
      <c r="G122" s="3"/>
      <c r="H122" s="124">
        <f t="shared" si="6"/>
        <v>0</v>
      </c>
      <c r="I122" s="117" t="s">
        <v>76</v>
      </c>
      <c r="J122" s="110"/>
      <c r="K122" s="120">
        <f>K123</f>
        <v>0</v>
      </c>
      <c r="L122" s="117"/>
      <c r="M122" s="117"/>
      <c r="N122" s="117" t="s">
        <v>76</v>
      </c>
      <c r="O122" s="6"/>
    </row>
    <row r="123" spans="1:15" s="25" customFormat="1" ht="24" customHeight="1" hidden="1">
      <c r="A123" s="22" t="s">
        <v>236</v>
      </c>
      <c r="B123" s="40"/>
      <c r="C123" s="9" t="s">
        <v>203</v>
      </c>
      <c r="D123" s="9" t="s">
        <v>81</v>
      </c>
      <c r="E123" s="9" t="s">
        <v>108</v>
      </c>
      <c r="F123" s="9" t="s">
        <v>205</v>
      </c>
      <c r="G123" s="9" t="s">
        <v>123</v>
      </c>
      <c r="H123" s="126">
        <f t="shared" si="6"/>
        <v>0</v>
      </c>
      <c r="I123" s="107" t="s">
        <v>76</v>
      </c>
      <c r="J123" s="78"/>
      <c r="K123" s="121"/>
      <c r="L123" s="107"/>
      <c r="M123" s="107"/>
      <c r="N123" s="107" t="s">
        <v>76</v>
      </c>
      <c r="O123" s="6"/>
    </row>
    <row r="124" spans="1:15" s="25" customFormat="1" ht="12.75" hidden="1">
      <c r="A124" s="75" t="s">
        <v>226</v>
      </c>
      <c r="B124" s="58"/>
      <c r="C124" s="42" t="s">
        <v>23</v>
      </c>
      <c r="D124" s="42"/>
      <c r="E124" s="42"/>
      <c r="F124" s="42"/>
      <c r="G124" s="42"/>
      <c r="H124" s="125">
        <f t="shared" si="6"/>
        <v>0</v>
      </c>
      <c r="I124" s="119"/>
      <c r="J124" s="98"/>
      <c r="K124" s="97">
        <f>K125</f>
        <v>0</v>
      </c>
      <c r="L124" s="119"/>
      <c r="M124" s="119"/>
      <c r="N124" s="119"/>
      <c r="O124" s="6"/>
    </row>
    <row r="125" spans="1:15" s="25" customFormat="1" ht="12.75" hidden="1">
      <c r="A125" s="76" t="s">
        <v>227</v>
      </c>
      <c r="B125" s="57"/>
      <c r="C125" s="9" t="s">
        <v>23</v>
      </c>
      <c r="D125" s="9" t="s">
        <v>228</v>
      </c>
      <c r="E125" s="9" t="s">
        <v>157</v>
      </c>
      <c r="F125" s="9" t="s">
        <v>116</v>
      </c>
      <c r="G125" s="9" t="s">
        <v>115</v>
      </c>
      <c r="H125" s="129">
        <f t="shared" si="6"/>
        <v>0</v>
      </c>
      <c r="I125" s="107"/>
      <c r="J125" s="26"/>
      <c r="K125" s="78"/>
      <c r="L125" s="107"/>
      <c r="M125" s="107"/>
      <c r="N125" s="107"/>
      <c r="O125" s="6"/>
    </row>
    <row r="126" spans="1:15" s="25" customFormat="1" ht="12.75" hidden="1">
      <c r="A126" s="77" t="s">
        <v>231</v>
      </c>
      <c r="B126" s="58"/>
      <c r="C126" s="87" t="s">
        <v>230</v>
      </c>
      <c r="D126" s="53"/>
      <c r="E126" s="53"/>
      <c r="F126" s="53"/>
      <c r="G126" s="53"/>
      <c r="H126" s="124">
        <f>K126</f>
        <v>0</v>
      </c>
      <c r="I126" s="119"/>
      <c r="J126" s="97"/>
      <c r="K126" s="98">
        <f>K127</f>
        <v>0</v>
      </c>
      <c r="L126" s="119"/>
      <c r="M126" s="119"/>
      <c r="N126" s="119"/>
      <c r="O126" s="6"/>
    </row>
    <row r="127" spans="1:15" s="25" customFormat="1" ht="12.75" hidden="1">
      <c r="A127" s="22" t="s">
        <v>227</v>
      </c>
      <c r="B127" s="57"/>
      <c r="C127" s="9" t="s">
        <v>230</v>
      </c>
      <c r="D127" s="9" t="s">
        <v>81</v>
      </c>
      <c r="E127" s="9" t="s">
        <v>232</v>
      </c>
      <c r="F127" s="9" t="s">
        <v>116</v>
      </c>
      <c r="G127" s="9" t="s">
        <v>115</v>
      </c>
      <c r="H127" s="126">
        <f>K127</f>
        <v>0</v>
      </c>
      <c r="I127" s="107"/>
      <c r="J127" s="78"/>
      <c r="K127" s="26"/>
      <c r="L127" s="107"/>
      <c r="M127" s="107"/>
      <c r="N127" s="107"/>
      <c r="O127" s="6"/>
    </row>
    <row r="128" spans="1:15" s="25" customFormat="1" ht="29.25" customHeight="1">
      <c r="A128" s="681" t="s">
        <v>224</v>
      </c>
      <c r="B128" s="682"/>
      <c r="C128" s="27" t="s">
        <v>80</v>
      </c>
      <c r="D128" s="3"/>
      <c r="E128" s="3"/>
      <c r="F128" s="3"/>
      <c r="G128" s="3"/>
      <c r="H128" s="124">
        <f>N128</f>
        <v>30000</v>
      </c>
      <c r="I128" s="119"/>
      <c r="J128" s="119"/>
      <c r="K128" s="119"/>
      <c r="L128" s="119"/>
      <c r="M128" s="119"/>
      <c r="N128" s="97">
        <f>SUM(N129:N136)</f>
        <v>30000</v>
      </c>
      <c r="O128" s="6"/>
    </row>
    <row r="129" spans="1:15" s="25" customFormat="1" ht="13.5" customHeight="1" hidden="1">
      <c r="A129" s="45" t="s">
        <v>8</v>
      </c>
      <c r="B129" s="8"/>
      <c r="C129" s="9" t="s">
        <v>80</v>
      </c>
      <c r="D129" s="9" t="s">
        <v>81</v>
      </c>
      <c r="E129" s="9" t="s">
        <v>108</v>
      </c>
      <c r="F129" s="9" t="s">
        <v>128</v>
      </c>
      <c r="G129" s="9" t="s">
        <v>115</v>
      </c>
      <c r="H129" s="126">
        <f aca="true" t="shared" si="7" ref="H129:H135">N129</f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/>
      <c r="N129" s="122"/>
      <c r="O129" s="6"/>
    </row>
    <row r="130" spans="1:15" s="25" customFormat="1" ht="13.5" customHeight="1" hidden="1">
      <c r="A130" s="22" t="s">
        <v>11</v>
      </c>
      <c r="B130" s="9"/>
      <c r="C130" s="9" t="s">
        <v>80</v>
      </c>
      <c r="D130" s="9" t="s">
        <v>81</v>
      </c>
      <c r="E130" s="9" t="s">
        <v>108</v>
      </c>
      <c r="F130" s="9" t="s">
        <v>121</v>
      </c>
      <c r="G130" s="9" t="s">
        <v>115</v>
      </c>
      <c r="H130" s="126">
        <f t="shared" si="7"/>
        <v>0</v>
      </c>
      <c r="I130" s="107" t="s">
        <v>76</v>
      </c>
      <c r="J130" s="107" t="s">
        <v>76</v>
      </c>
      <c r="K130" s="107" t="s">
        <v>76</v>
      </c>
      <c r="L130" s="107" t="s">
        <v>76</v>
      </c>
      <c r="M130" s="107"/>
      <c r="N130" s="122"/>
      <c r="O130" s="6"/>
    </row>
    <row r="131" spans="1:15" s="25" customFormat="1" ht="13.5" customHeight="1" hidden="1">
      <c r="A131" s="22" t="s">
        <v>11</v>
      </c>
      <c r="B131" s="9"/>
      <c r="C131" s="9" t="s">
        <v>80</v>
      </c>
      <c r="D131" s="9" t="s">
        <v>81</v>
      </c>
      <c r="E131" s="9" t="s">
        <v>218</v>
      </c>
      <c r="F131" s="9" t="s">
        <v>121</v>
      </c>
      <c r="G131" s="9" t="s">
        <v>115</v>
      </c>
      <c r="H131" s="126">
        <f>N131</f>
        <v>0</v>
      </c>
      <c r="I131" s="107" t="s">
        <v>76</v>
      </c>
      <c r="J131" s="107" t="s">
        <v>76</v>
      </c>
      <c r="K131" s="107" t="s">
        <v>76</v>
      </c>
      <c r="L131" s="107" t="s">
        <v>76</v>
      </c>
      <c r="M131" s="107" t="s">
        <v>76</v>
      </c>
      <c r="N131" s="78"/>
      <c r="O131" s="6"/>
    </row>
    <row r="132" spans="1:15" s="25" customFormat="1" ht="13.5" customHeight="1" hidden="1">
      <c r="A132" s="22" t="s">
        <v>12</v>
      </c>
      <c r="B132" s="9"/>
      <c r="C132" s="9" t="s">
        <v>80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>
        <f t="shared" si="7"/>
        <v>0</v>
      </c>
      <c r="I132" s="107" t="s">
        <v>76</v>
      </c>
      <c r="J132" s="107"/>
      <c r="K132" s="107" t="s">
        <v>76</v>
      </c>
      <c r="L132" s="107" t="s">
        <v>76</v>
      </c>
      <c r="M132" s="107"/>
      <c r="N132" s="139"/>
      <c r="O132" s="6"/>
    </row>
    <row r="133" spans="1:15" s="25" customFormat="1" ht="13.5" customHeight="1">
      <c r="A133" s="22" t="s">
        <v>12</v>
      </c>
      <c r="B133" s="9"/>
      <c r="C133" s="9" t="s">
        <v>80</v>
      </c>
      <c r="D133" s="9" t="s">
        <v>81</v>
      </c>
      <c r="E133" s="9" t="s">
        <v>108</v>
      </c>
      <c r="F133" s="9" t="s">
        <v>116</v>
      </c>
      <c r="G133" s="9" t="s">
        <v>115</v>
      </c>
      <c r="H133" s="126">
        <f>N133</f>
        <v>30000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 t="s">
        <v>76</v>
      </c>
      <c r="N133" s="78">
        <v>30000</v>
      </c>
      <c r="O133" s="6"/>
    </row>
    <row r="134" spans="1:15" s="25" customFormat="1" ht="13.5" customHeight="1" hidden="1">
      <c r="A134" s="22" t="s">
        <v>14</v>
      </c>
      <c r="B134" s="9"/>
      <c r="C134" s="9" t="s">
        <v>80</v>
      </c>
      <c r="D134" s="9" t="s">
        <v>81</v>
      </c>
      <c r="E134" s="9" t="s">
        <v>108</v>
      </c>
      <c r="F134" s="9" t="s">
        <v>118</v>
      </c>
      <c r="G134" s="9" t="s">
        <v>115</v>
      </c>
      <c r="H134" s="126">
        <f t="shared" si="7"/>
        <v>0</v>
      </c>
      <c r="I134" s="107" t="s">
        <v>76</v>
      </c>
      <c r="J134" s="107" t="s">
        <v>76</v>
      </c>
      <c r="K134" s="107" t="s">
        <v>76</v>
      </c>
      <c r="L134" s="107" t="s">
        <v>76</v>
      </c>
      <c r="M134" s="107"/>
      <c r="N134" s="122"/>
      <c r="O134" s="6"/>
    </row>
    <row r="135" spans="1:15" s="25" customFormat="1" ht="13.5" customHeight="1" hidden="1">
      <c r="A135" s="22" t="s">
        <v>188</v>
      </c>
      <c r="B135" s="9"/>
      <c r="C135" s="9" t="s">
        <v>80</v>
      </c>
      <c r="D135" s="9" t="s">
        <v>81</v>
      </c>
      <c r="E135" s="9" t="s">
        <v>108</v>
      </c>
      <c r="F135" s="9" t="s">
        <v>119</v>
      </c>
      <c r="G135" s="9" t="s">
        <v>115</v>
      </c>
      <c r="H135" s="126">
        <f t="shared" si="7"/>
        <v>0</v>
      </c>
      <c r="I135" s="107" t="s">
        <v>76</v>
      </c>
      <c r="J135" s="107"/>
      <c r="K135" s="107" t="s">
        <v>76</v>
      </c>
      <c r="L135" s="107" t="s">
        <v>76</v>
      </c>
      <c r="M135" s="107"/>
      <c r="N135" s="99"/>
      <c r="O135" s="6"/>
    </row>
    <row r="136" spans="1:15" s="25" customFormat="1" ht="13.5" customHeight="1" hidden="1">
      <c r="A136" s="66" t="s">
        <v>221</v>
      </c>
      <c r="B136" s="66"/>
      <c r="C136" s="59" t="s">
        <v>80</v>
      </c>
      <c r="D136" s="59" t="s">
        <v>81</v>
      </c>
      <c r="E136" s="59" t="s">
        <v>218</v>
      </c>
      <c r="F136" s="59" t="s">
        <v>119</v>
      </c>
      <c r="G136" s="59" t="s">
        <v>115</v>
      </c>
      <c r="H136" s="127">
        <f>N136</f>
        <v>0</v>
      </c>
      <c r="I136" s="101" t="s">
        <v>76</v>
      </c>
      <c r="J136" s="123"/>
      <c r="K136" s="107" t="s">
        <v>76</v>
      </c>
      <c r="L136" s="123"/>
      <c r="M136" s="123"/>
      <c r="N136" s="78"/>
      <c r="O136" s="6"/>
    </row>
    <row r="137" spans="1:15" s="25" customFormat="1" ht="27">
      <c r="A137" s="96" t="s">
        <v>129</v>
      </c>
      <c r="B137" s="32" t="s">
        <v>130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I137+N137+K137</f>
        <v>16679700</v>
      </c>
      <c r="I137" s="130">
        <f>I51+I54+I81+I82+I52+I66</f>
        <v>16679700</v>
      </c>
      <c r="J137" s="130"/>
      <c r="K137" s="130">
        <f>K123</f>
        <v>0</v>
      </c>
      <c r="L137" s="134" t="s">
        <v>76</v>
      </c>
      <c r="M137" s="134" t="s">
        <v>76</v>
      </c>
      <c r="N137" s="130"/>
      <c r="O137" s="6" t="s">
        <v>76</v>
      </c>
    </row>
    <row r="138" spans="1:15" s="25" customFormat="1" ht="27">
      <c r="A138" s="96" t="s">
        <v>131</v>
      </c>
      <c r="B138" s="32" t="s">
        <v>132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H140+H139</f>
        <v>5178039</v>
      </c>
      <c r="I138" s="130">
        <f>I140+I139</f>
        <v>4367139</v>
      </c>
      <c r="J138" s="130">
        <f>J140+J139</f>
        <v>0</v>
      </c>
      <c r="K138" s="130">
        <f>K140+K139</f>
        <v>780900</v>
      </c>
      <c r="L138" s="134"/>
      <c r="M138" s="134"/>
      <c r="N138" s="130">
        <f>N140+N139</f>
        <v>30000</v>
      </c>
      <c r="O138" s="6"/>
    </row>
    <row r="139" spans="1:15" s="25" customFormat="1" ht="24" customHeight="1">
      <c r="A139" s="96" t="s">
        <v>133</v>
      </c>
      <c r="B139" s="32" t="s">
        <v>134</v>
      </c>
      <c r="C139" s="33" t="s">
        <v>76</v>
      </c>
      <c r="D139" s="33" t="s">
        <v>76</v>
      </c>
      <c r="E139" s="33" t="s">
        <v>76</v>
      </c>
      <c r="F139" s="33" t="s">
        <v>76</v>
      </c>
      <c r="G139" s="33" t="s">
        <v>76</v>
      </c>
      <c r="H139" s="130">
        <f>I139+N139+K139</f>
        <v>0</v>
      </c>
      <c r="I139" s="130"/>
      <c r="J139" s="130"/>
      <c r="K139" s="130">
        <v>0</v>
      </c>
      <c r="L139" s="134"/>
      <c r="M139" s="134"/>
      <c r="N139" s="130">
        <v>0</v>
      </c>
      <c r="O139" s="6"/>
    </row>
    <row r="140" spans="1:15" s="25" customFormat="1" ht="12.75" customHeight="1">
      <c r="A140" s="96" t="s">
        <v>135</v>
      </c>
      <c r="B140" s="32" t="s">
        <v>136</v>
      </c>
      <c r="C140" s="33" t="s">
        <v>76</v>
      </c>
      <c r="D140" s="33" t="s">
        <v>76</v>
      </c>
      <c r="E140" s="33" t="s">
        <v>76</v>
      </c>
      <c r="F140" s="33" t="s">
        <v>76</v>
      </c>
      <c r="G140" s="33" t="s">
        <v>76</v>
      </c>
      <c r="H140" s="130">
        <f>I140+N140+K140</f>
        <v>5178039</v>
      </c>
      <c r="I140" s="130">
        <f>I56+I61+I62+I63+I64+I67+I72+I73+I75+I77+I78+I79+I80+I91+I86+I87+I68+I69+I70+I71+I88+I76</f>
        <v>4367139</v>
      </c>
      <c r="J140" s="130"/>
      <c r="K140" s="130">
        <f>K95+K99+K120+K121+K108+K109+K110+K113+K115+K102+K103+K104+K105+K101+K125+K127+K112</f>
        <v>780900</v>
      </c>
      <c r="L140" s="134" t="s">
        <v>76</v>
      </c>
      <c r="M140" s="134" t="s">
        <v>76</v>
      </c>
      <c r="N140" s="130">
        <f>N129+N130+N132+N134+N135+N131+N133+N136</f>
        <v>30000</v>
      </c>
      <c r="O140" s="6" t="s">
        <v>76</v>
      </c>
    </row>
    <row r="141" spans="1:15" s="25" customFormat="1" ht="13.5" hidden="1">
      <c r="A141" s="8" t="s">
        <v>137</v>
      </c>
      <c r="B141" s="9" t="s">
        <v>138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f>I141+N141</f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139</v>
      </c>
      <c r="B142" s="9" t="s">
        <v>118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140</v>
      </c>
      <c r="B143" s="9" t="s">
        <v>141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142</v>
      </c>
      <c r="B144" s="9" t="s">
        <v>143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20" t="s">
        <v>144</v>
      </c>
      <c r="B145" s="9" t="s">
        <v>145</v>
      </c>
      <c r="C145" s="34" t="s">
        <v>76</v>
      </c>
      <c r="D145" s="34" t="s">
        <v>76</v>
      </c>
      <c r="E145" s="34" t="s">
        <v>76</v>
      </c>
      <c r="F145" s="34" t="s">
        <v>76</v>
      </c>
      <c r="G145" s="34" t="s">
        <v>76</v>
      </c>
      <c r="H145" s="126">
        <v>0</v>
      </c>
      <c r="I145" s="126">
        <v>0</v>
      </c>
      <c r="J145" s="126"/>
      <c r="K145" s="126"/>
      <c r="L145" s="135" t="s">
        <v>76</v>
      </c>
      <c r="M145" s="135" t="s">
        <v>76</v>
      </c>
      <c r="N145" s="126">
        <v>0</v>
      </c>
      <c r="O145" s="6" t="s">
        <v>76</v>
      </c>
    </row>
    <row r="146" spans="1:15" s="25" customFormat="1" ht="13.5" hidden="1">
      <c r="A146" s="20" t="s">
        <v>146</v>
      </c>
      <c r="B146" s="9" t="s">
        <v>147</v>
      </c>
      <c r="C146" s="34" t="s">
        <v>76</v>
      </c>
      <c r="D146" s="34" t="s">
        <v>76</v>
      </c>
      <c r="E146" s="34" t="s">
        <v>76</v>
      </c>
      <c r="F146" s="34" t="s">
        <v>76</v>
      </c>
      <c r="G146" s="34" t="s">
        <v>76</v>
      </c>
      <c r="H146" s="126">
        <v>0</v>
      </c>
      <c r="I146" s="126">
        <v>0</v>
      </c>
      <c r="J146" s="126"/>
      <c r="K146" s="126"/>
      <c r="L146" s="135" t="s">
        <v>76</v>
      </c>
      <c r="M146" s="135" t="s">
        <v>76</v>
      </c>
      <c r="N146" s="126">
        <v>0</v>
      </c>
      <c r="O146" s="6" t="s">
        <v>76</v>
      </c>
    </row>
    <row r="147" spans="1:15" s="25" customFormat="1" ht="13.5">
      <c r="A147" s="48" t="s">
        <v>137</v>
      </c>
      <c r="B147" s="49" t="s">
        <v>138</v>
      </c>
      <c r="C147" s="50" t="s">
        <v>173</v>
      </c>
      <c r="D147" s="49" t="s">
        <v>81</v>
      </c>
      <c r="E147" s="50" t="s">
        <v>174</v>
      </c>
      <c r="F147" s="50" t="s">
        <v>174</v>
      </c>
      <c r="G147" s="50" t="s">
        <v>175</v>
      </c>
      <c r="H147" s="132">
        <v>28653.9</v>
      </c>
      <c r="I147" s="136"/>
      <c r="J147" s="136"/>
      <c r="K147" s="136"/>
      <c r="L147" s="137"/>
      <c r="M147" s="137"/>
      <c r="N147" s="136"/>
      <c r="O147" s="6"/>
    </row>
    <row r="148" spans="1:15" s="25" customFormat="1" ht="13.5">
      <c r="A148" s="51" t="s">
        <v>142</v>
      </c>
      <c r="B148" s="49" t="s">
        <v>143</v>
      </c>
      <c r="C148" s="50" t="s">
        <v>173</v>
      </c>
      <c r="D148" s="49" t="s">
        <v>81</v>
      </c>
      <c r="E148" s="50" t="s">
        <v>174</v>
      </c>
      <c r="F148" s="50" t="s">
        <v>174</v>
      </c>
      <c r="G148" s="50" t="s">
        <v>176</v>
      </c>
      <c r="H148" s="132">
        <v>28653.9</v>
      </c>
      <c r="I148" s="136"/>
      <c r="J148" s="136"/>
      <c r="K148" s="136"/>
      <c r="L148" s="137"/>
      <c r="M148" s="137"/>
      <c r="N148" s="136"/>
      <c r="O148" s="6"/>
    </row>
    <row r="149" spans="1:15" s="25" customFormat="1" ht="13.5">
      <c r="A149" s="35" t="s">
        <v>148</v>
      </c>
      <c r="B149" s="36" t="s">
        <v>149</v>
      </c>
      <c r="C149" s="37" t="s">
        <v>76</v>
      </c>
      <c r="D149" s="37" t="s">
        <v>76</v>
      </c>
      <c r="E149" s="37" t="s">
        <v>76</v>
      </c>
      <c r="F149" s="37" t="s">
        <v>76</v>
      </c>
      <c r="G149" s="37" t="s">
        <v>76</v>
      </c>
      <c r="H149" s="133">
        <f>I149+K149+N149</f>
        <v>0</v>
      </c>
      <c r="I149" s="133">
        <v>0</v>
      </c>
      <c r="J149" s="133"/>
      <c r="K149" s="133"/>
      <c r="L149" s="138" t="s">
        <v>76</v>
      </c>
      <c r="M149" s="138" t="s">
        <v>76</v>
      </c>
      <c r="N149" s="133"/>
      <c r="O149" s="6" t="s">
        <v>76</v>
      </c>
    </row>
    <row r="150" spans="1:15" s="25" customFormat="1" ht="13.5">
      <c r="A150" s="20" t="s">
        <v>150</v>
      </c>
      <c r="B150" s="9" t="s">
        <v>151</v>
      </c>
      <c r="C150" s="34" t="s">
        <v>76</v>
      </c>
      <c r="D150" s="34" t="s">
        <v>76</v>
      </c>
      <c r="E150" s="34" t="s">
        <v>76</v>
      </c>
      <c r="F150" s="34" t="s">
        <v>76</v>
      </c>
      <c r="G150" s="34" t="s">
        <v>76</v>
      </c>
      <c r="H150" s="126">
        <v>0</v>
      </c>
      <c r="I150" s="126">
        <v>0</v>
      </c>
      <c r="J150" s="126"/>
      <c r="K150" s="126"/>
      <c r="L150" s="135" t="s">
        <v>76</v>
      </c>
      <c r="M150" s="135" t="s">
        <v>76</v>
      </c>
      <c r="N150" s="126">
        <v>0</v>
      </c>
      <c r="O150" s="6" t="s">
        <v>76</v>
      </c>
    </row>
    <row r="152" ht="12.75">
      <c r="A152" s="88" t="s">
        <v>271</v>
      </c>
    </row>
    <row r="153" ht="12.75">
      <c r="A153" s="88"/>
    </row>
    <row r="154" ht="19.5" customHeight="1">
      <c r="A154" s="88" t="s">
        <v>17</v>
      </c>
    </row>
    <row r="155" ht="12.75">
      <c r="A155" s="88" t="s">
        <v>272</v>
      </c>
    </row>
    <row r="156" ht="12.75">
      <c r="A156" s="88"/>
    </row>
    <row r="157" ht="13.5" customHeight="1">
      <c r="A157" s="89"/>
    </row>
    <row r="158" ht="13.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  <row r="164" ht="12.75" customHeight="1">
      <c r="A164" s="89"/>
    </row>
    <row r="165" ht="12.75" customHeight="1">
      <c r="A165" s="89"/>
    </row>
  </sheetData>
  <sheetProtection/>
  <mergeCells count="80">
    <mergeCell ref="N6:O6"/>
    <mergeCell ref="G4:G6"/>
    <mergeCell ref="A1:O1"/>
    <mergeCell ref="B2:M2"/>
    <mergeCell ref="N2:O2"/>
    <mergeCell ref="A4:A6"/>
    <mergeCell ref="B4:B6"/>
    <mergeCell ref="D4:D6"/>
    <mergeCell ref="E4:E6"/>
    <mergeCell ref="H4:O4"/>
    <mergeCell ref="H5:H6"/>
    <mergeCell ref="J15:J16"/>
    <mergeCell ref="A18:A22"/>
    <mergeCell ref="C18:C22"/>
    <mergeCell ref="B10:B14"/>
    <mergeCell ref="C11:C13"/>
    <mergeCell ref="F16:F17"/>
    <mergeCell ref="G16:G17"/>
    <mergeCell ref="I5:O5"/>
    <mergeCell ref="C4:C6"/>
    <mergeCell ref="A35:A37"/>
    <mergeCell ref="C35:C37"/>
    <mergeCell ref="F35:F37"/>
    <mergeCell ref="B15:B22"/>
    <mergeCell ref="A16:A17"/>
    <mergeCell ref="C16:C17"/>
    <mergeCell ref="F18:F22"/>
    <mergeCell ref="E11:E13"/>
    <mergeCell ref="F11:F13"/>
    <mergeCell ref="E16:E17"/>
    <mergeCell ref="A30:A34"/>
    <mergeCell ref="F30:F34"/>
    <mergeCell ref="F4:F6"/>
    <mergeCell ref="A40:A41"/>
    <mergeCell ref="C40:C41"/>
    <mergeCell ref="F40:F41"/>
    <mergeCell ref="A50:B50"/>
    <mergeCell ref="A56:A61"/>
    <mergeCell ref="C56:C61"/>
    <mergeCell ref="F56:F61"/>
    <mergeCell ref="A63:A64"/>
    <mergeCell ref="C63:C64"/>
    <mergeCell ref="E63:E64"/>
    <mergeCell ref="A79:A80"/>
    <mergeCell ref="C79:C80"/>
    <mergeCell ref="F63:F64"/>
    <mergeCell ref="A72:A73"/>
    <mergeCell ref="C72:C73"/>
    <mergeCell ref="E72:E73"/>
    <mergeCell ref="A74:B74"/>
    <mergeCell ref="A77:A78"/>
    <mergeCell ref="C77:C78"/>
    <mergeCell ref="E77:E78"/>
    <mergeCell ref="E67:E68"/>
    <mergeCell ref="F77:F78"/>
    <mergeCell ref="E79:E80"/>
    <mergeCell ref="F79:F80"/>
    <mergeCell ref="G72:G73"/>
    <mergeCell ref="F72:F73"/>
    <mergeCell ref="G112:G113"/>
    <mergeCell ref="G63:G64"/>
    <mergeCell ref="G77:G78"/>
    <mergeCell ref="A96:B96"/>
    <mergeCell ref="A100:B100"/>
    <mergeCell ref="A106:B106"/>
    <mergeCell ref="A108:A110"/>
    <mergeCell ref="G79:G80"/>
    <mergeCell ref="A92:B92"/>
    <mergeCell ref="F108:F110"/>
    <mergeCell ref="G108:G110"/>
    <mergeCell ref="C108:C110"/>
    <mergeCell ref="E108:E110"/>
    <mergeCell ref="A119:B119"/>
    <mergeCell ref="A128:B128"/>
    <mergeCell ref="A114:B114"/>
    <mergeCell ref="A117:B117"/>
    <mergeCell ref="F112:F113"/>
    <mergeCell ref="A112:A113"/>
    <mergeCell ref="C112:C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5"/>
  <sheetViews>
    <sheetView zoomScalePageLayoutView="0" workbookViewId="0" topLeftCell="A76">
      <selection activeCell="K115" sqref="K115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7.75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331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22854179</v>
      </c>
      <c r="I9" s="124">
        <f>I15</f>
        <v>21046839</v>
      </c>
      <c r="J9" s="124"/>
      <c r="K9" s="124">
        <f>K23</f>
        <v>1777340</v>
      </c>
      <c r="L9" s="125" t="s">
        <v>76</v>
      </c>
      <c r="M9" s="125" t="s">
        <v>76</v>
      </c>
      <c r="N9" s="124">
        <f>N10</f>
        <v>30000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30000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30000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 hidden="1">
      <c r="A14" s="8" t="s">
        <v>83</v>
      </c>
      <c r="B14" s="695"/>
      <c r="C14" s="9" t="s">
        <v>80</v>
      </c>
      <c r="D14" s="9" t="s">
        <v>81</v>
      </c>
      <c r="E14" s="9"/>
      <c r="F14" s="9" t="s">
        <v>208</v>
      </c>
      <c r="G14" s="9"/>
      <c r="H14" s="126">
        <f>N14</f>
        <v>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/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21046839</v>
      </c>
      <c r="I15" s="100">
        <f>I16+I18+I19+I17+I22</f>
        <v>21046839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359">
        <f>408300</f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1394239</v>
      </c>
      <c r="I18" s="359">
        <f>1543600-149361</f>
        <v>1394239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1777340</v>
      </c>
      <c r="I23" s="102" t="s">
        <v>76</v>
      </c>
      <c r="J23" s="100"/>
      <c r="K23" s="100">
        <f>SUM(K24:K43)</f>
        <v>1777340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74" t="s">
        <v>89</v>
      </c>
      <c r="E24" s="62"/>
      <c r="F24" s="6" t="s">
        <v>284</v>
      </c>
      <c r="G24" s="62"/>
      <c r="H24" s="128">
        <f>K24</f>
        <v>653340</v>
      </c>
      <c r="I24" s="101" t="s">
        <v>76</v>
      </c>
      <c r="J24" s="104"/>
      <c r="K24" s="364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2" t="s">
        <v>81</v>
      </c>
      <c r="E28" s="5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21"/>
      <c r="F29" s="308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/>
      <c r="O29" s="7"/>
    </row>
    <row r="30" spans="1:15" ht="21" customHeight="1">
      <c r="A30" s="700"/>
      <c r="B30" s="62"/>
      <c r="C30" s="63" t="s">
        <v>50</v>
      </c>
      <c r="D30" s="366" t="s">
        <v>332</v>
      </c>
      <c r="E30" s="324"/>
      <c r="F30" s="693" t="s">
        <v>284</v>
      </c>
      <c r="G30" s="9"/>
      <c r="I30" s="107" t="s">
        <v>76</v>
      </c>
      <c r="J30" s="108"/>
      <c r="K30" s="367">
        <v>43200</v>
      </c>
      <c r="L30" s="108"/>
      <c r="M30" s="108"/>
      <c r="N30" s="107" t="s">
        <v>76</v>
      </c>
      <c r="O30" s="7"/>
    </row>
    <row r="31" spans="1:15" ht="12.75" customHeight="1">
      <c r="A31" s="700"/>
      <c r="B31" s="62"/>
      <c r="C31" s="63" t="s">
        <v>50</v>
      </c>
      <c r="D31" s="366" t="s">
        <v>214</v>
      </c>
      <c r="E31" s="59"/>
      <c r="F31" s="697"/>
      <c r="G31" s="9"/>
      <c r="H31" s="126">
        <f>K31</f>
        <v>4800</v>
      </c>
      <c r="I31" s="107" t="s">
        <v>76</v>
      </c>
      <c r="J31" s="78"/>
      <c r="K31" s="363">
        <v>4800</v>
      </c>
      <c r="L31" s="26"/>
      <c r="M31" s="26"/>
      <c r="N31" s="107" t="s">
        <v>76</v>
      </c>
      <c r="O31" s="7"/>
    </row>
    <row r="32" spans="1:15" ht="12.75" customHeight="1">
      <c r="A32" s="700"/>
      <c r="B32" s="62"/>
      <c r="C32" s="63" t="s">
        <v>50</v>
      </c>
      <c r="D32" s="366" t="s">
        <v>333</v>
      </c>
      <c r="E32" s="59"/>
      <c r="F32" s="697"/>
      <c r="G32" s="9"/>
      <c r="H32" s="126">
        <f aca="true" t="shared" si="1" ref="H32:H43">K32</f>
        <v>10800</v>
      </c>
      <c r="I32" s="107" t="s">
        <v>76</v>
      </c>
      <c r="J32" s="78"/>
      <c r="K32" s="363">
        <v>10800</v>
      </c>
      <c r="L32" s="26"/>
      <c r="M32" s="26"/>
      <c r="N32" s="107" t="s">
        <v>76</v>
      </c>
      <c r="O32" s="7"/>
    </row>
    <row r="33" spans="1:15" ht="12.75" customHeight="1">
      <c r="A33" s="700"/>
      <c r="B33" s="62"/>
      <c r="C33" s="63" t="s">
        <v>50</v>
      </c>
      <c r="D33" s="366" t="s">
        <v>216</v>
      </c>
      <c r="E33" s="59"/>
      <c r="F33" s="697"/>
      <c r="G33" s="9"/>
      <c r="H33" s="126">
        <f t="shared" si="1"/>
        <v>1200</v>
      </c>
      <c r="I33" s="107" t="s">
        <v>76</v>
      </c>
      <c r="J33" s="78"/>
      <c r="K33" s="363">
        <v>1200</v>
      </c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59" t="s">
        <v>216</v>
      </c>
      <c r="E34" s="5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 t="s">
        <v>155</v>
      </c>
      <c r="B35" s="62"/>
      <c r="C35" s="698" t="s">
        <v>51</v>
      </c>
      <c r="D35" s="62" t="s">
        <v>81</v>
      </c>
      <c r="E35" s="59"/>
      <c r="F35" s="693" t="s">
        <v>284</v>
      </c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59" t="s">
        <v>196</v>
      </c>
      <c r="E36" s="59"/>
      <c r="F36" s="697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hidden="1">
      <c r="A37" s="711"/>
      <c r="B37" s="62"/>
      <c r="C37" s="698"/>
      <c r="D37" s="62" t="s">
        <v>166</v>
      </c>
      <c r="E37" s="59"/>
      <c r="F37" s="694"/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63.75">
      <c r="A38" s="65" t="s">
        <v>43</v>
      </c>
      <c r="B38" s="66"/>
      <c r="C38" s="368" t="s">
        <v>42</v>
      </c>
      <c r="D38" s="62" t="s">
        <v>162</v>
      </c>
      <c r="E38" s="59"/>
      <c r="F38" s="6" t="s">
        <v>284</v>
      </c>
      <c r="G38" s="9"/>
      <c r="H38" s="126">
        <f t="shared" si="1"/>
        <v>950000</v>
      </c>
      <c r="I38" s="107" t="s">
        <v>76</v>
      </c>
      <c r="J38" s="78"/>
      <c r="K38" s="363">
        <v>950000</v>
      </c>
      <c r="L38" s="26"/>
      <c r="M38" s="26"/>
      <c r="N38" s="107" t="s">
        <v>76</v>
      </c>
      <c r="O38" s="7"/>
    </row>
    <row r="39" spans="1:15" ht="25.5">
      <c r="A39" s="65" t="s">
        <v>225</v>
      </c>
      <c r="B39" s="66"/>
      <c r="C39" s="59" t="s">
        <v>203</v>
      </c>
      <c r="D39" s="59" t="s">
        <v>81</v>
      </c>
      <c r="E39" s="59"/>
      <c r="F39" s="6" t="s">
        <v>284</v>
      </c>
      <c r="G39" s="9"/>
      <c r="H39" s="126">
        <f t="shared" si="1"/>
        <v>10000</v>
      </c>
      <c r="I39" s="107" t="s">
        <v>76</v>
      </c>
      <c r="J39" s="78"/>
      <c r="K39" s="363">
        <v>10000</v>
      </c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21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22854179</v>
      </c>
      <c r="I44" s="130">
        <f>I50+I74+I92</f>
        <v>21046839</v>
      </c>
      <c r="J44" s="130"/>
      <c r="K44" s="130">
        <f>K92+K96+K98+K106+K114+K117+K119+K100+K122+K124+K126</f>
        <v>1777340</v>
      </c>
      <c r="L44" s="130"/>
      <c r="M44" s="130"/>
      <c r="N44" s="130">
        <f>N128</f>
        <v>30000</v>
      </c>
      <c r="O44" s="95"/>
      <c r="U44" s="380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 hidden="1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684" t="s">
        <v>12</v>
      </c>
      <c r="B63" s="9"/>
      <c r="C63" s="693" t="s">
        <v>18</v>
      </c>
      <c r="D63" s="9" t="s">
        <v>81</v>
      </c>
      <c r="E63" s="693" t="s">
        <v>108</v>
      </c>
      <c r="F63" s="693" t="s">
        <v>116</v>
      </c>
      <c r="G63" s="693" t="s">
        <v>115</v>
      </c>
      <c r="H63" s="126">
        <f t="shared" si="2"/>
        <v>272300</v>
      </c>
      <c r="I63" s="113">
        <f>216300+56000</f>
        <v>272300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686"/>
      <c r="B64" s="9"/>
      <c r="C64" s="694"/>
      <c r="D64" s="14">
        <v>14130030000000000</v>
      </c>
      <c r="E64" s="694"/>
      <c r="F64" s="694"/>
      <c r="G64" s="694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 t="s">
        <v>109</v>
      </c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 hidden="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0</v>
      </c>
      <c r="I68" s="113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40000</v>
      </c>
      <c r="I70" s="376">
        <f>20000+20000</f>
        <v>40000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374" t="s">
        <v>243</v>
      </c>
      <c r="B71" s="345"/>
      <c r="C71" s="345" t="s">
        <v>18</v>
      </c>
      <c r="D71" s="373">
        <v>14130030000000000</v>
      </c>
      <c r="E71" s="345" t="s">
        <v>108</v>
      </c>
      <c r="F71" s="345" t="s">
        <v>244</v>
      </c>
      <c r="G71" s="345" t="s">
        <v>115</v>
      </c>
      <c r="H71" s="314">
        <f t="shared" si="2"/>
        <v>0</v>
      </c>
      <c r="I71" s="377">
        <f>20000-20000</f>
        <v>0</v>
      </c>
      <c r="J71" s="315"/>
      <c r="K71" s="315" t="s">
        <v>76</v>
      </c>
      <c r="L71" s="315" t="s">
        <v>76</v>
      </c>
      <c r="M71" s="315" t="s">
        <v>76</v>
      </c>
      <c r="N71" s="315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3949039</v>
      </c>
      <c r="I74" s="97">
        <f>SUM(I75:I91)</f>
        <v>3949039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22" t="s">
        <v>9</v>
      </c>
      <c r="B75" s="9"/>
      <c r="C75" s="9" t="s">
        <v>20</v>
      </c>
      <c r="D75" s="9" t="s">
        <v>81</v>
      </c>
      <c r="E75" s="9" t="s">
        <v>108</v>
      </c>
      <c r="F75" s="9" t="s">
        <v>120</v>
      </c>
      <c r="G75" s="9" t="s">
        <v>115</v>
      </c>
      <c r="H75" s="126">
        <f>I75</f>
        <v>934139</v>
      </c>
      <c r="I75" s="78">
        <f>1083500-149361</f>
        <v>934139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 t="s">
        <v>76</v>
      </c>
    </row>
    <row r="76" spans="1:15" s="25" customFormat="1" ht="15" customHeight="1">
      <c r="A76" s="82" t="s">
        <v>8</v>
      </c>
      <c r="B76" s="9"/>
      <c r="C76" s="9" t="s">
        <v>20</v>
      </c>
      <c r="D76" s="9" t="s">
        <v>81</v>
      </c>
      <c r="E76" s="10" t="s">
        <v>108</v>
      </c>
      <c r="F76" s="10" t="s">
        <v>128</v>
      </c>
      <c r="G76" s="10" t="s">
        <v>115</v>
      </c>
      <c r="H76" s="126">
        <f>I76</f>
        <v>17547.48</v>
      </c>
      <c r="I76" s="78">
        <v>17547.48</v>
      </c>
      <c r="J76" s="78"/>
      <c r="K76" s="107"/>
      <c r="L76" s="107"/>
      <c r="M76" s="107"/>
      <c r="N76" s="107"/>
      <c r="O76" s="6"/>
    </row>
    <row r="77" spans="1:15" s="25" customFormat="1" ht="15" customHeight="1">
      <c r="A77" s="691" t="s">
        <v>11</v>
      </c>
      <c r="B77" s="9"/>
      <c r="C77" s="693" t="s">
        <v>20</v>
      </c>
      <c r="D77" s="9" t="s">
        <v>81</v>
      </c>
      <c r="E77" s="693" t="s">
        <v>108</v>
      </c>
      <c r="F77" s="693" t="s">
        <v>121</v>
      </c>
      <c r="G77" s="693" t="s">
        <v>115</v>
      </c>
      <c r="H77" s="126">
        <f aca="true" t="shared" si="3" ref="H77:H91">I77</f>
        <v>246900</v>
      </c>
      <c r="I77" s="112">
        <v>246900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12.75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3"/>
        <v>2020000</v>
      </c>
      <c r="I78" s="112">
        <v>2020000</v>
      </c>
      <c r="J78" s="362"/>
      <c r="K78" s="107" t="s">
        <v>76</v>
      </c>
      <c r="L78" s="107"/>
      <c r="M78" s="107"/>
      <c r="N78" s="107" t="s">
        <v>76</v>
      </c>
      <c r="O78" s="6"/>
    </row>
    <row r="79" spans="1:15" s="25" customFormat="1" ht="12.75">
      <c r="A79" s="691" t="s">
        <v>12</v>
      </c>
      <c r="B79" s="9"/>
      <c r="C79" s="693" t="s">
        <v>20</v>
      </c>
      <c r="D79" s="9" t="s">
        <v>81</v>
      </c>
      <c r="E79" s="693" t="s">
        <v>108</v>
      </c>
      <c r="F79" s="693" t="s">
        <v>116</v>
      </c>
      <c r="G79" s="693" t="s">
        <v>115</v>
      </c>
      <c r="H79" s="126">
        <f t="shared" si="3"/>
        <v>82352.52</v>
      </c>
      <c r="I79" s="78">
        <f>99900-17547.48</f>
        <v>82352.52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2.75">
      <c r="A80" s="692"/>
      <c r="B80" s="9"/>
      <c r="C80" s="694"/>
      <c r="D80" s="14">
        <v>14130030000000000</v>
      </c>
      <c r="E80" s="694"/>
      <c r="F80" s="694"/>
      <c r="G80" s="694"/>
      <c r="H80" s="126">
        <f t="shared" si="3"/>
        <v>534800</v>
      </c>
      <c r="I80" s="115">
        <v>534800</v>
      </c>
      <c r="J80" s="78"/>
      <c r="K80" s="107" t="s">
        <v>76</v>
      </c>
      <c r="L80" s="107"/>
      <c r="M80" s="107"/>
      <c r="N80" s="107" t="s">
        <v>76</v>
      </c>
      <c r="O80" s="6"/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122</v>
      </c>
      <c r="H81" s="126">
        <f t="shared" si="3"/>
        <v>55400</v>
      </c>
      <c r="I81" s="78">
        <v>55400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22" t="s">
        <v>249</v>
      </c>
      <c r="B82" s="9"/>
      <c r="C82" s="9" t="s">
        <v>20</v>
      </c>
      <c r="D82" s="9" t="s">
        <v>81</v>
      </c>
      <c r="E82" s="9" t="s">
        <v>108</v>
      </c>
      <c r="F82" s="9" t="s">
        <v>206</v>
      </c>
      <c r="G82" s="9" t="s">
        <v>250</v>
      </c>
      <c r="H82" s="126">
        <f t="shared" si="3"/>
        <v>4800</v>
      </c>
      <c r="I82" s="79">
        <v>4800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 hidden="1">
      <c r="A83" s="22" t="s">
        <v>14</v>
      </c>
      <c r="B83" s="9"/>
      <c r="C83" s="9" t="s">
        <v>20</v>
      </c>
      <c r="D83" s="9" t="s">
        <v>81</v>
      </c>
      <c r="E83" s="9" t="s">
        <v>124</v>
      </c>
      <c r="F83" s="9" t="s">
        <v>118</v>
      </c>
      <c r="G83" s="9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51" hidden="1">
      <c r="A84" s="82" t="s">
        <v>237</v>
      </c>
      <c r="B84" s="9"/>
      <c r="C84" s="83" t="s">
        <v>18</v>
      </c>
      <c r="D84" s="9" t="s">
        <v>81</v>
      </c>
      <c r="E84" s="83" t="s">
        <v>124</v>
      </c>
      <c r="F84" s="84" t="s">
        <v>238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38.25" hidden="1">
      <c r="A85" s="82" t="s">
        <v>239</v>
      </c>
      <c r="B85" s="9"/>
      <c r="C85" s="83" t="s">
        <v>18</v>
      </c>
      <c r="D85" s="9" t="s">
        <v>81</v>
      </c>
      <c r="E85" s="83" t="s">
        <v>124</v>
      </c>
      <c r="F85" s="84" t="s">
        <v>240</v>
      </c>
      <c r="G85" s="84" t="s">
        <v>115</v>
      </c>
      <c r="H85" s="126">
        <f t="shared" si="3"/>
        <v>0</v>
      </c>
      <c r="I85" s="78"/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369" t="s">
        <v>248</v>
      </c>
      <c r="B86" s="313"/>
      <c r="C86" s="313" t="s">
        <v>20</v>
      </c>
      <c r="D86" s="313" t="s">
        <v>81</v>
      </c>
      <c r="E86" s="370" t="s">
        <v>108</v>
      </c>
      <c r="F86" s="358" t="s">
        <v>247</v>
      </c>
      <c r="G86" s="371" t="s">
        <v>115</v>
      </c>
      <c r="H86" s="314">
        <f t="shared" si="3"/>
        <v>20000</v>
      </c>
      <c r="I86" s="309">
        <f>10000+10000</f>
        <v>20000</v>
      </c>
      <c r="J86" s="309"/>
      <c r="K86" s="315" t="s">
        <v>76</v>
      </c>
      <c r="L86" s="315" t="s">
        <v>76</v>
      </c>
      <c r="M86" s="315" t="s">
        <v>76</v>
      </c>
      <c r="N86" s="315" t="s">
        <v>76</v>
      </c>
      <c r="O86" s="6"/>
    </row>
    <row r="87" spans="1:15" s="25" customFormat="1" ht="25.5">
      <c r="A87" s="22" t="s">
        <v>241</v>
      </c>
      <c r="B87" s="9"/>
      <c r="C87" s="9" t="s">
        <v>20</v>
      </c>
      <c r="D87" s="9" t="s">
        <v>81</v>
      </c>
      <c r="E87" s="9" t="s">
        <v>108</v>
      </c>
      <c r="F87" s="9" t="s">
        <v>242</v>
      </c>
      <c r="G87" s="9" t="s">
        <v>115</v>
      </c>
      <c r="H87" s="126">
        <f t="shared" si="3"/>
        <v>33100</v>
      </c>
      <c r="I87" s="78">
        <v>33100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25.5" hidden="1">
      <c r="A88" s="85" t="s">
        <v>243</v>
      </c>
      <c r="B88" s="57"/>
      <c r="C88" s="9" t="s">
        <v>20</v>
      </c>
      <c r="D88" s="9" t="s">
        <v>81</v>
      </c>
      <c r="E88" s="9" t="s">
        <v>108</v>
      </c>
      <c r="F88" s="9" t="s">
        <v>244</v>
      </c>
      <c r="G88" s="9" t="s">
        <v>115</v>
      </c>
      <c r="H88" s="126">
        <f t="shared" si="3"/>
        <v>0</v>
      </c>
      <c r="I88" s="78">
        <f>10000-10000</f>
        <v>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/>
      <c r="B90" s="9"/>
      <c r="C90" s="9"/>
      <c r="D90" s="9"/>
      <c r="E90" s="9"/>
      <c r="F90" s="9"/>
      <c r="G90" s="9"/>
      <c r="H90" s="126"/>
      <c r="I90" s="78"/>
      <c r="J90" s="78"/>
      <c r="K90" s="107"/>
      <c r="L90" s="107"/>
      <c r="M90" s="107"/>
      <c r="N90" s="107"/>
      <c r="O90" s="6"/>
    </row>
    <row r="91" spans="1:15" s="25" customFormat="1" ht="12.75" hidden="1">
      <c r="A91" s="22" t="s">
        <v>188</v>
      </c>
      <c r="B91" s="9"/>
      <c r="C91" s="9" t="s">
        <v>20</v>
      </c>
      <c r="D91" s="9" t="s">
        <v>81</v>
      </c>
      <c r="E91" s="9" t="s">
        <v>108</v>
      </c>
      <c r="F91" s="9" t="s">
        <v>119</v>
      </c>
      <c r="G91" s="9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3.5">
      <c r="A92" s="681" t="s">
        <v>125</v>
      </c>
      <c r="B92" s="683"/>
      <c r="C92" s="27" t="s">
        <v>21</v>
      </c>
      <c r="D92" s="3"/>
      <c r="E92" s="27"/>
      <c r="F92" s="3"/>
      <c r="G92" s="3"/>
      <c r="H92" s="124">
        <f>K92</f>
        <v>653340</v>
      </c>
      <c r="I92" s="98"/>
      <c r="J92" s="97"/>
      <c r="K92" s="97">
        <f>K95</f>
        <v>653340</v>
      </c>
      <c r="L92" s="110"/>
      <c r="M92" s="110"/>
      <c r="N92" s="111" t="s">
        <v>107</v>
      </c>
      <c r="O92" s="28"/>
    </row>
    <row r="93" spans="1:15" s="25" customFormat="1" ht="12.75" hidden="1">
      <c r="A93" s="22" t="s">
        <v>4</v>
      </c>
      <c r="B93" s="9"/>
      <c r="C93" s="9"/>
      <c r="D93" s="9"/>
      <c r="E93" s="9"/>
      <c r="F93" s="9" t="s">
        <v>99</v>
      </c>
      <c r="G93" s="9" t="s">
        <v>109</v>
      </c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 hidden="1">
      <c r="A94" s="22" t="s">
        <v>5</v>
      </c>
      <c r="B94" s="9"/>
      <c r="C94" s="9"/>
      <c r="D94" s="9"/>
      <c r="E94" s="9"/>
      <c r="F94" s="9"/>
      <c r="G94" s="9"/>
      <c r="H94" s="126">
        <f>I94</f>
        <v>0</v>
      </c>
      <c r="I94" s="78"/>
      <c r="J94" s="78"/>
      <c r="K94" s="116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3.5">
      <c r="A95" s="311" t="s">
        <v>12</v>
      </c>
      <c r="B95" s="313"/>
      <c r="C95" s="378" t="s">
        <v>21</v>
      </c>
      <c r="D95" s="313" t="s">
        <v>89</v>
      </c>
      <c r="E95" s="313" t="s">
        <v>126</v>
      </c>
      <c r="F95" s="313" t="s">
        <v>116</v>
      </c>
      <c r="G95" s="313" t="s">
        <v>115</v>
      </c>
      <c r="H95" s="314">
        <f aca="true" t="shared" si="4" ref="H95:H105">K95</f>
        <v>653340</v>
      </c>
      <c r="I95" s="315" t="s">
        <v>76</v>
      </c>
      <c r="J95" s="309"/>
      <c r="K95" s="375">
        <f>676900-23560</f>
        <v>653340</v>
      </c>
      <c r="L95" s="315" t="s">
        <v>76</v>
      </c>
      <c r="M95" s="315" t="s">
        <v>76</v>
      </c>
      <c r="N95" s="315" t="s">
        <v>76</v>
      </c>
      <c r="O95" s="6" t="s">
        <v>76</v>
      </c>
    </row>
    <row r="96" spans="1:15" s="25" customFormat="1" ht="18.75" customHeight="1" hidden="1">
      <c r="A96" s="687" t="s">
        <v>127</v>
      </c>
      <c r="B96" s="688"/>
      <c r="C96" s="27" t="s">
        <v>22</v>
      </c>
      <c r="D96" s="3"/>
      <c r="E96" s="3"/>
      <c r="F96" s="3"/>
      <c r="G96" s="3"/>
      <c r="H96" s="131">
        <f t="shared" si="4"/>
        <v>0</v>
      </c>
      <c r="I96" s="117"/>
      <c r="J96" s="110"/>
      <c r="K96" s="118">
        <f>K97</f>
        <v>0</v>
      </c>
      <c r="L96" s="117"/>
      <c r="M96" s="117"/>
      <c r="N96" s="117"/>
      <c r="O96" s="6"/>
    </row>
    <row r="97" spans="1:15" s="25" customFormat="1" ht="13.5" customHeight="1" hidden="1">
      <c r="A97" s="22" t="s">
        <v>12</v>
      </c>
      <c r="B97" s="40"/>
      <c r="C97" s="41" t="s">
        <v>22</v>
      </c>
      <c r="D97" s="9" t="s">
        <v>81</v>
      </c>
      <c r="E97" s="9" t="s">
        <v>108</v>
      </c>
      <c r="F97" s="9" t="s">
        <v>116</v>
      </c>
      <c r="G97" s="9" t="s">
        <v>115</v>
      </c>
      <c r="H97" s="126">
        <f t="shared" si="4"/>
        <v>0</v>
      </c>
      <c r="I97" s="107" t="s">
        <v>76</v>
      </c>
      <c r="J97" s="78"/>
      <c r="K97" s="116"/>
      <c r="L97" s="107"/>
      <c r="M97" s="107"/>
      <c r="N97" s="107" t="s">
        <v>76</v>
      </c>
      <c r="O97" s="6"/>
    </row>
    <row r="98" spans="1:15" s="25" customFormat="1" ht="28.5" customHeight="1">
      <c r="A98" s="39" t="s">
        <v>190</v>
      </c>
      <c r="B98" s="55"/>
      <c r="C98" s="27" t="s">
        <v>41</v>
      </c>
      <c r="D98" s="3"/>
      <c r="E98" s="3"/>
      <c r="F98" s="3"/>
      <c r="G98" s="3"/>
      <c r="H98" s="124">
        <f t="shared" si="4"/>
        <v>24000</v>
      </c>
      <c r="I98" s="119"/>
      <c r="J98" s="97"/>
      <c r="K98" s="120">
        <f>K99</f>
        <v>24000</v>
      </c>
      <c r="L98" s="117"/>
      <c r="M98" s="117"/>
      <c r="N98" s="117"/>
      <c r="O98" s="6"/>
    </row>
    <row r="99" spans="1:15" s="25" customFormat="1" ht="12.75">
      <c r="A99" s="22" t="s">
        <v>12</v>
      </c>
      <c r="B99" s="40"/>
      <c r="C99" s="9" t="s">
        <v>41</v>
      </c>
      <c r="D99" s="9" t="s">
        <v>81</v>
      </c>
      <c r="E99" s="9" t="s">
        <v>154</v>
      </c>
      <c r="F99" s="9" t="s">
        <v>116</v>
      </c>
      <c r="G99" s="9" t="s">
        <v>115</v>
      </c>
      <c r="H99" s="126">
        <f t="shared" si="4"/>
        <v>24000</v>
      </c>
      <c r="I99" s="107" t="s">
        <v>76</v>
      </c>
      <c r="J99" s="78"/>
      <c r="K99" s="116">
        <v>24000</v>
      </c>
      <c r="L99" s="107"/>
      <c r="M99" s="107"/>
      <c r="N99" s="107" t="s">
        <v>76</v>
      </c>
      <c r="O99" s="6"/>
    </row>
    <row r="100" spans="1:15" s="25" customFormat="1" ht="41.25" customHeight="1">
      <c r="A100" s="681" t="s">
        <v>334</v>
      </c>
      <c r="B100" s="683"/>
      <c r="C100" s="27" t="s">
        <v>211</v>
      </c>
      <c r="D100" s="3"/>
      <c r="E100" s="3"/>
      <c r="F100" s="3"/>
      <c r="G100" s="3"/>
      <c r="H100" s="124">
        <f t="shared" si="4"/>
        <v>140000</v>
      </c>
      <c r="I100" s="117" t="s">
        <v>76</v>
      </c>
      <c r="J100" s="110"/>
      <c r="K100" s="97">
        <f>SUM(K101:K105)</f>
        <v>140000</v>
      </c>
      <c r="L100" s="117"/>
      <c r="M100" s="117"/>
      <c r="N100" s="117" t="s">
        <v>76</v>
      </c>
      <c r="O100" s="6"/>
    </row>
    <row r="101" spans="1:15" s="25" customFormat="1" ht="12.75">
      <c r="A101" s="22" t="s">
        <v>12</v>
      </c>
      <c r="B101" s="57"/>
      <c r="C101" s="9" t="s">
        <v>204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80000</v>
      </c>
      <c r="I101" s="107" t="s">
        <v>76</v>
      </c>
      <c r="J101" s="107"/>
      <c r="K101" s="116">
        <v>80000</v>
      </c>
      <c r="L101" s="107"/>
      <c r="M101" s="107"/>
      <c r="N101" s="107" t="s">
        <v>76</v>
      </c>
      <c r="O101" s="6"/>
    </row>
    <row r="102" spans="1:15" s="25" customFormat="1" ht="12.75">
      <c r="A102" s="8" t="s">
        <v>335</v>
      </c>
      <c r="B102" s="9"/>
      <c r="C102" s="9" t="s">
        <v>211</v>
      </c>
      <c r="D102" s="365" t="s">
        <v>332</v>
      </c>
      <c r="E102" s="9" t="s">
        <v>108</v>
      </c>
      <c r="F102" s="9" t="s">
        <v>116</v>
      </c>
      <c r="G102" s="9" t="s">
        <v>115</v>
      </c>
      <c r="H102" s="126">
        <f t="shared" si="4"/>
        <v>43200</v>
      </c>
      <c r="I102" s="107" t="s">
        <v>76</v>
      </c>
      <c r="J102" s="78"/>
      <c r="K102" s="310">
        <v>43200</v>
      </c>
      <c r="L102" s="107"/>
      <c r="M102" s="107"/>
      <c r="N102" s="107" t="s">
        <v>76</v>
      </c>
      <c r="O102" s="64" t="s">
        <v>76</v>
      </c>
    </row>
    <row r="103" spans="1:15" s="25" customFormat="1" ht="12.75">
      <c r="A103" s="8" t="s">
        <v>336</v>
      </c>
      <c r="B103" s="59"/>
      <c r="C103" s="59" t="s">
        <v>211</v>
      </c>
      <c r="D103" s="365" t="s">
        <v>214</v>
      </c>
      <c r="E103" s="59" t="s">
        <v>108</v>
      </c>
      <c r="F103" s="59" t="s">
        <v>116</v>
      </c>
      <c r="G103" s="59" t="s">
        <v>115</v>
      </c>
      <c r="H103" s="127">
        <f t="shared" si="4"/>
        <v>4800</v>
      </c>
      <c r="I103" s="101" t="s">
        <v>76</v>
      </c>
      <c r="J103" s="100"/>
      <c r="K103" s="309">
        <v>4800</v>
      </c>
      <c r="L103" s="101"/>
      <c r="M103" s="101"/>
      <c r="N103" s="101" t="s">
        <v>76</v>
      </c>
      <c r="O103" s="6"/>
    </row>
    <row r="104" spans="1:15" s="25" customFormat="1" ht="12.75">
      <c r="A104" s="8" t="s">
        <v>336</v>
      </c>
      <c r="B104" s="59"/>
      <c r="C104" s="59" t="s">
        <v>211</v>
      </c>
      <c r="D104" s="365" t="s">
        <v>333</v>
      </c>
      <c r="E104" s="59" t="s">
        <v>108</v>
      </c>
      <c r="F104" s="59" t="s">
        <v>116</v>
      </c>
      <c r="G104" s="59" t="s">
        <v>115</v>
      </c>
      <c r="H104" s="127">
        <f t="shared" si="4"/>
        <v>10800</v>
      </c>
      <c r="I104" s="101" t="s">
        <v>76</v>
      </c>
      <c r="J104" s="100"/>
      <c r="K104" s="309">
        <v>10800</v>
      </c>
      <c r="L104" s="101"/>
      <c r="M104" s="101"/>
      <c r="N104" s="101" t="s">
        <v>76</v>
      </c>
      <c r="O104" s="6"/>
    </row>
    <row r="105" spans="1:15" s="25" customFormat="1" ht="12.75">
      <c r="A105" s="8" t="s">
        <v>337</v>
      </c>
      <c r="B105" s="59"/>
      <c r="C105" s="59" t="s">
        <v>211</v>
      </c>
      <c r="D105" s="365" t="s">
        <v>216</v>
      </c>
      <c r="E105" s="59" t="s">
        <v>108</v>
      </c>
      <c r="F105" s="59" t="s">
        <v>116</v>
      </c>
      <c r="G105" s="59" t="s">
        <v>115</v>
      </c>
      <c r="H105" s="127">
        <f t="shared" si="4"/>
        <v>1200</v>
      </c>
      <c r="I105" s="101" t="s">
        <v>76</v>
      </c>
      <c r="J105" s="100"/>
      <c r="K105" s="309">
        <v>1200</v>
      </c>
      <c r="L105" s="101"/>
      <c r="M105" s="101"/>
      <c r="N105" s="101" t="s">
        <v>76</v>
      </c>
      <c r="O105" s="6"/>
    </row>
    <row r="106" spans="1:15" s="25" customFormat="1" ht="41.25" customHeight="1" hidden="1">
      <c r="A106" s="681" t="s">
        <v>217</v>
      </c>
      <c r="B106" s="683"/>
      <c r="C106" s="27" t="s">
        <v>51</v>
      </c>
      <c r="D106" s="43"/>
      <c r="E106" s="42"/>
      <c r="F106" s="42"/>
      <c r="G106" s="42"/>
      <c r="H106" s="124"/>
      <c r="I106" s="119"/>
      <c r="J106" s="97"/>
      <c r="K106" s="120">
        <f>SUM(K108:K113)</f>
        <v>0</v>
      </c>
      <c r="L106" s="119"/>
      <c r="M106" s="119"/>
      <c r="N106" s="119"/>
      <c r="O106" s="6"/>
    </row>
    <row r="107" spans="1:15" s="25" customFormat="1" ht="12.75" hidden="1">
      <c r="A107" s="61" t="s">
        <v>11</v>
      </c>
      <c r="B107" s="59"/>
      <c r="C107" s="59" t="s">
        <v>51</v>
      </c>
      <c r="D107" s="59" t="s">
        <v>81</v>
      </c>
      <c r="E107" s="59" t="s">
        <v>218</v>
      </c>
      <c r="F107" s="59" t="s">
        <v>121</v>
      </c>
      <c r="G107" s="59" t="s">
        <v>115</v>
      </c>
      <c r="H107" s="127">
        <f aca="true" t="shared" si="5" ref="H107:H113">K107</f>
        <v>0</v>
      </c>
      <c r="I107" s="101" t="s">
        <v>76</v>
      </c>
      <c r="J107" s="102"/>
      <c r="K107" s="104"/>
      <c r="L107" s="102"/>
      <c r="M107" s="100"/>
      <c r="N107" s="101" t="s">
        <v>76</v>
      </c>
      <c r="O107" s="6"/>
    </row>
    <row r="108" spans="1:15" s="25" customFormat="1" ht="12.75" hidden="1">
      <c r="A108" s="684" t="s">
        <v>12</v>
      </c>
      <c r="B108" s="9"/>
      <c r="C108" s="678" t="s">
        <v>51</v>
      </c>
      <c r="D108" s="9" t="s">
        <v>81</v>
      </c>
      <c r="E108" s="678" t="s">
        <v>218</v>
      </c>
      <c r="F108" s="678" t="s">
        <v>116</v>
      </c>
      <c r="G108" s="678" t="s">
        <v>115</v>
      </c>
      <c r="H108" s="126">
        <f t="shared" si="5"/>
        <v>0</v>
      </c>
      <c r="I108" s="107" t="s">
        <v>76</v>
      </c>
      <c r="J108" s="107"/>
      <c r="K108" s="116"/>
      <c r="L108" s="101"/>
      <c r="M108" s="101"/>
      <c r="N108" s="101" t="s">
        <v>76</v>
      </c>
      <c r="O108" s="6"/>
    </row>
    <row r="109" spans="1:15" s="25" customFormat="1" ht="12.75" hidden="1">
      <c r="A109" s="685"/>
      <c r="B109" s="9"/>
      <c r="C109" s="679"/>
      <c r="D109" s="9" t="s">
        <v>219</v>
      </c>
      <c r="E109" s="679"/>
      <c r="F109" s="679"/>
      <c r="G109" s="679"/>
      <c r="H109" s="126">
        <f t="shared" si="5"/>
        <v>0</v>
      </c>
      <c r="I109" s="107" t="s">
        <v>76</v>
      </c>
      <c r="J109" s="107"/>
      <c r="K109" s="116"/>
      <c r="L109" s="101"/>
      <c r="M109" s="101"/>
      <c r="N109" s="101" t="s">
        <v>76</v>
      </c>
      <c r="O109" s="6"/>
    </row>
    <row r="110" spans="1:15" s="25" customFormat="1" ht="12.75" hidden="1">
      <c r="A110" s="686"/>
      <c r="B110" s="9"/>
      <c r="C110" s="680"/>
      <c r="D110" s="9" t="s">
        <v>196</v>
      </c>
      <c r="E110" s="680"/>
      <c r="F110" s="680"/>
      <c r="G110" s="680"/>
      <c r="H110" s="126">
        <f t="shared" si="5"/>
        <v>0</v>
      </c>
      <c r="I110" s="107"/>
      <c r="J110" s="107"/>
      <c r="K110" s="116"/>
      <c r="L110" s="101"/>
      <c r="M110" s="101"/>
      <c r="N110" s="101"/>
      <c r="O110" s="6"/>
    </row>
    <row r="111" spans="1:15" s="25" customFormat="1" ht="25.5" hidden="1">
      <c r="A111" s="22" t="s">
        <v>220</v>
      </c>
      <c r="B111" s="9"/>
      <c r="C111" s="9" t="s">
        <v>51</v>
      </c>
      <c r="D111" s="9" t="s">
        <v>81</v>
      </c>
      <c r="E111" s="9" t="s">
        <v>218</v>
      </c>
      <c r="F111" s="9" t="s">
        <v>118</v>
      </c>
      <c r="G111" s="9" t="s">
        <v>115</v>
      </c>
      <c r="H111" s="126">
        <f>K111</f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2.75" hidden="1">
      <c r="A112" s="684" t="s">
        <v>221</v>
      </c>
      <c r="B112" s="9"/>
      <c r="C112" s="678" t="s">
        <v>51</v>
      </c>
      <c r="D112" s="9" t="s">
        <v>81</v>
      </c>
      <c r="E112" s="678" t="s">
        <v>218</v>
      </c>
      <c r="F112" s="678" t="s">
        <v>119</v>
      </c>
      <c r="G112" s="678" t="s">
        <v>115</v>
      </c>
      <c r="H112" s="126">
        <f t="shared" si="5"/>
        <v>0</v>
      </c>
      <c r="I112" s="107" t="s">
        <v>76</v>
      </c>
      <c r="J112" s="107"/>
      <c r="K112" s="116"/>
      <c r="L112" s="101"/>
      <c r="M112" s="101"/>
      <c r="N112" s="101" t="s">
        <v>76</v>
      </c>
      <c r="O112" s="6"/>
    </row>
    <row r="113" spans="1:15" s="25" customFormat="1" ht="12.75" hidden="1">
      <c r="A113" s="686"/>
      <c r="B113" s="9"/>
      <c r="C113" s="680"/>
      <c r="D113" s="9" t="s">
        <v>196</v>
      </c>
      <c r="E113" s="680"/>
      <c r="F113" s="680"/>
      <c r="G113" s="680"/>
      <c r="H113" s="126">
        <f t="shared" si="5"/>
        <v>0</v>
      </c>
      <c r="I113" s="107" t="s">
        <v>76</v>
      </c>
      <c r="J113" s="107"/>
      <c r="K113" s="116"/>
      <c r="L113" s="101"/>
      <c r="M113" s="101"/>
      <c r="N113" s="101" t="s">
        <v>76</v>
      </c>
      <c r="O113" s="6"/>
    </row>
    <row r="114" spans="1:15" s="25" customFormat="1" ht="15" customHeight="1">
      <c r="A114" s="681" t="s">
        <v>210</v>
      </c>
      <c r="B114" s="683"/>
      <c r="C114" s="27" t="s">
        <v>163</v>
      </c>
      <c r="D114" s="44"/>
      <c r="E114" s="3"/>
      <c r="F114" s="3"/>
      <c r="G114" s="3"/>
      <c r="H114" s="131"/>
      <c r="I114" s="117"/>
      <c r="J114" s="110"/>
      <c r="K114" s="120">
        <f>K115+K116</f>
        <v>950000</v>
      </c>
      <c r="L114" s="117"/>
      <c r="M114" s="117"/>
      <c r="N114" s="117"/>
      <c r="O114" s="6"/>
    </row>
    <row r="115" spans="1:15" s="25" customFormat="1" ht="15.75" customHeight="1">
      <c r="A115" s="311" t="s">
        <v>11</v>
      </c>
      <c r="B115" s="312"/>
      <c r="C115" s="378" t="s">
        <v>163</v>
      </c>
      <c r="D115" s="345" t="s">
        <v>162</v>
      </c>
      <c r="E115" s="313" t="s">
        <v>157</v>
      </c>
      <c r="F115" s="379">
        <v>225</v>
      </c>
      <c r="G115" s="313" t="s">
        <v>115</v>
      </c>
      <c r="H115" s="372" t="s">
        <v>76</v>
      </c>
      <c r="I115" s="315" t="s">
        <v>76</v>
      </c>
      <c r="J115" s="309"/>
      <c r="K115" s="316">
        <v>950000</v>
      </c>
      <c r="L115" s="315"/>
      <c r="M115" s="315"/>
      <c r="N115" s="315" t="s">
        <v>76</v>
      </c>
      <c r="O115" s="6"/>
    </row>
    <row r="116" spans="1:15" s="25" customFormat="1" ht="13.5" hidden="1">
      <c r="A116" s="47" t="s">
        <v>14</v>
      </c>
      <c r="B116" s="40"/>
      <c r="C116" s="41" t="s">
        <v>163</v>
      </c>
      <c r="D116" s="6" t="s">
        <v>162</v>
      </c>
      <c r="E116" s="9" t="s">
        <v>157</v>
      </c>
      <c r="F116" s="9" t="s">
        <v>118</v>
      </c>
      <c r="G116" s="9" t="s">
        <v>115</v>
      </c>
      <c r="H116" s="126"/>
      <c r="I116" s="107"/>
      <c r="J116" s="78"/>
      <c r="K116" s="116"/>
      <c r="L116" s="107"/>
      <c r="M116" s="107"/>
      <c r="N116" s="107"/>
      <c r="O116" s="6"/>
    </row>
    <row r="117" spans="1:15" s="25" customFormat="1" ht="15" customHeight="1" hidden="1">
      <c r="A117" s="681" t="s">
        <v>177</v>
      </c>
      <c r="B117" s="683"/>
      <c r="C117" s="27" t="s">
        <v>23</v>
      </c>
      <c r="D117" s="44"/>
      <c r="E117" s="3"/>
      <c r="F117" s="3"/>
      <c r="G117" s="3"/>
      <c r="H117" s="131"/>
      <c r="I117" s="117"/>
      <c r="J117" s="110"/>
      <c r="K117" s="118">
        <f>K118</f>
        <v>0</v>
      </c>
      <c r="L117" s="117"/>
      <c r="M117" s="117"/>
      <c r="N117" s="117"/>
      <c r="O117" s="6"/>
    </row>
    <row r="118" spans="1:15" s="25" customFormat="1" ht="15" customHeight="1" hidden="1">
      <c r="A118" s="22" t="s">
        <v>178</v>
      </c>
      <c r="B118" s="9"/>
      <c r="C118" s="9" t="s">
        <v>23</v>
      </c>
      <c r="D118" s="9" t="s">
        <v>81</v>
      </c>
      <c r="E118" s="9" t="s">
        <v>108</v>
      </c>
      <c r="F118" s="9" t="s">
        <v>116</v>
      </c>
      <c r="G118" s="9" t="s">
        <v>115</v>
      </c>
      <c r="H118" s="126"/>
      <c r="I118" s="107"/>
      <c r="J118" s="78"/>
      <c r="K118" s="116"/>
      <c r="L118" s="107"/>
      <c r="M118" s="107"/>
      <c r="N118" s="107"/>
      <c r="O118" s="6"/>
    </row>
    <row r="119" spans="1:15" s="25" customFormat="1" ht="29.25" customHeight="1" hidden="1">
      <c r="A119" s="681" t="s">
        <v>191</v>
      </c>
      <c r="B119" s="683"/>
      <c r="C119" s="27" t="s">
        <v>192</v>
      </c>
      <c r="D119" s="3"/>
      <c r="E119" s="3"/>
      <c r="F119" s="3"/>
      <c r="G119" s="3"/>
      <c r="H119" s="124">
        <f aca="true" t="shared" si="6" ref="H119:H125">K119</f>
        <v>0</v>
      </c>
      <c r="I119" s="119"/>
      <c r="J119" s="97"/>
      <c r="K119" s="97">
        <f>K120+K121</f>
        <v>0</v>
      </c>
      <c r="L119" s="117"/>
      <c r="M119" s="117"/>
      <c r="N119" s="117"/>
      <c r="O119" s="6"/>
    </row>
    <row r="120" spans="1:15" s="25" customFormat="1" ht="16.5" customHeight="1" hidden="1">
      <c r="A120" s="61" t="s">
        <v>195</v>
      </c>
      <c r="B120" s="67"/>
      <c r="C120" s="59" t="s">
        <v>192</v>
      </c>
      <c r="D120" s="59" t="s">
        <v>193</v>
      </c>
      <c r="E120" s="59" t="s">
        <v>108</v>
      </c>
      <c r="F120" s="59" t="s">
        <v>121</v>
      </c>
      <c r="G120" s="59" t="s">
        <v>194</v>
      </c>
      <c r="H120" s="127">
        <f t="shared" si="6"/>
        <v>0</v>
      </c>
      <c r="I120" s="101" t="s">
        <v>76</v>
      </c>
      <c r="J120" s="100"/>
      <c r="K120" s="104"/>
      <c r="L120" s="101"/>
      <c r="M120" s="101"/>
      <c r="N120" s="101" t="s">
        <v>76</v>
      </c>
      <c r="O120" s="6"/>
    </row>
    <row r="121" spans="1:15" s="25" customFormat="1" ht="16.5" customHeight="1" hidden="1">
      <c r="A121" s="61" t="s">
        <v>195</v>
      </c>
      <c r="B121" s="68"/>
      <c r="C121" s="59" t="s">
        <v>192</v>
      </c>
      <c r="D121" s="59" t="s">
        <v>196</v>
      </c>
      <c r="E121" s="59" t="s">
        <v>108</v>
      </c>
      <c r="F121" s="59" t="s">
        <v>121</v>
      </c>
      <c r="G121" s="59" t="s">
        <v>194</v>
      </c>
      <c r="H121" s="127">
        <f t="shared" si="6"/>
        <v>0</v>
      </c>
      <c r="I121" s="101" t="s">
        <v>76</v>
      </c>
      <c r="J121" s="100"/>
      <c r="K121" s="104"/>
      <c r="L121" s="101"/>
      <c r="M121" s="101"/>
      <c r="N121" s="101" t="s">
        <v>76</v>
      </c>
      <c r="O121" s="6"/>
    </row>
    <row r="122" spans="1:15" s="25" customFormat="1" ht="16.5" customHeight="1">
      <c r="A122" s="39" t="s">
        <v>222</v>
      </c>
      <c r="B122" s="38"/>
      <c r="C122" s="27" t="s">
        <v>203</v>
      </c>
      <c r="D122" s="3"/>
      <c r="E122" s="3"/>
      <c r="F122" s="3"/>
      <c r="G122" s="3"/>
      <c r="H122" s="124">
        <f t="shared" si="6"/>
        <v>10000</v>
      </c>
      <c r="I122" s="117" t="s">
        <v>76</v>
      </c>
      <c r="J122" s="110"/>
      <c r="K122" s="120">
        <f>K123</f>
        <v>10000</v>
      </c>
      <c r="L122" s="117"/>
      <c r="M122" s="117"/>
      <c r="N122" s="117" t="s">
        <v>76</v>
      </c>
      <c r="O122" s="6"/>
    </row>
    <row r="123" spans="1:15" s="25" customFormat="1" ht="24" customHeight="1">
      <c r="A123" s="311" t="s">
        <v>236</v>
      </c>
      <c r="B123" s="312"/>
      <c r="C123" s="313" t="s">
        <v>203</v>
      </c>
      <c r="D123" s="313" t="s">
        <v>81</v>
      </c>
      <c r="E123" s="313" t="s">
        <v>108</v>
      </c>
      <c r="F123" s="313" t="s">
        <v>205</v>
      </c>
      <c r="G123" s="313" t="s">
        <v>123</v>
      </c>
      <c r="H123" s="314">
        <f t="shared" si="6"/>
        <v>10000</v>
      </c>
      <c r="I123" s="315" t="s">
        <v>76</v>
      </c>
      <c r="J123" s="309"/>
      <c r="K123" s="381">
        <v>10000</v>
      </c>
      <c r="L123" s="315"/>
      <c r="M123" s="315"/>
      <c r="N123" s="315" t="s">
        <v>76</v>
      </c>
      <c r="O123" s="6"/>
    </row>
    <row r="124" spans="1:15" s="25" customFormat="1" ht="12.75" hidden="1">
      <c r="A124" s="75" t="s">
        <v>226</v>
      </c>
      <c r="B124" s="58"/>
      <c r="C124" s="42" t="s">
        <v>23</v>
      </c>
      <c r="D124" s="42"/>
      <c r="E124" s="42"/>
      <c r="F124" s="42"/>
      <c r="G124" s="42"/>
      <c r="H124" s="125">
        <f t="shared" si="6"/>
        <v>0</v>
      </c>
      <c r="I124" s="119"/>
      <c r="J124" s="98"/>
      <c r="K124" s="97">
        <f>K125</f>
        <v>0</v>
      </c>
      <c r="L124" s="119"/>
      <c r="M124" s="119"/>
      <c r="N124" s="119"/>
      <c r="O124" s="6"/>
    </row>
    <row r="125" spans="1:15" s="25" customFormat="1" ht="12.75" hidden="1">
      <c r="A125" s="76" t="s">
        <v>227</v>
      </c>
      <c r="B125" s="57"/>
      <c r="C125" s="9" t="s">
        <v>23</v>
      </c>
      <c r="D125" s="9" t="s">
        <v>228</v>
      </c>
      <c r="E125" s="9" t="s">
        <v>157</v>
      </c>
      <c r="F125" s="9" t="s">
        <v>116</v>
      </c>
      <c r="G125" s="9" t="s">
        <v>115</v>
      </c>
      <c r="H125" s="129">
        <f t="shared" si="6"/>
        <v>0</v>
      </c>
      <c r="I125" s="107"/>
      <c r="J125" s="26"/>
      <c r="K125" s="78"/>
      <c r="L125" s="107"/>
      <c r="M125" s="107"/>
      <c r="N125" s="107"/>
      <c r="O125" s="6"/>
    </row>
    <row r="126" spans="1:15" s="25" customFormat="1" ht="12.75" hidden="1">
      <c r="A126" s="77" t="s">
        <v>231</v>
      </c>
      <c r="B126" s="58"/>
      <c r="C126" s="87" t="s">
        <v>230</v>
      </c>
      <c r="D126" s="53"/>
      <c r="E126" s="53"/>
      <c r="F126" s="53"/>
      <c r="G126" s="53"/>
      <c r="H126" s="124">
        <f>K126</f>
        <v>0</v>
      </c>
      <c r="I126" s="119"/>
      <c r="J126" s="97"/>
      <c r="K126" s="98">
        <f>K127</f>
        <v>0</v>
      </c>
      <c r="L126" s="119"/>
      <c r="M126" s="119"/>
      <c r="N126" s="119"/>
      <c r="O126" s="6"/>
    </row>
    <row r="127" spans="1:15" s="25" customFormat="1" ht="12.75" hidden="1">
      <c r="A127" s="22" t="s">
        <v>227</v>
      </c>
      <c r="B127" s="57"/>
      <c r="C127" s="9" t="s">
        <v>230</v>
      </c>
      <c r="D127" s="9" t="s">
        <v>81</v>
      </c>
      <c r="E127" s="9" t="s">
        <v>232</v>
      </c>
      <c r="F127" s="9" t="s">
        <v>116</v>
      </c>
      <c r="G127" s="9" t="s">
        <v>115</v>
      </c>
      <c r="H127" s="126">
        <f>K127</f>
        <v>0</v>
      </c>
      <c r="I127" s="107"/>
      <c r="J127" s="78"/>
      <c r="K127" s="26"/>
      <c r="L127" s="107"/>
      <c r="M127" s="107"/>
      <c r="N127" s="107"/>
      <c r="O127" s="6"/>
    </row>
    <row r="128" spans="1:15" s="25" customFormat="1" ht="29.25" customHeight="1">
      <c r="A128" s="681" t="s">
        <v>224</v>
      </c>
      <c r="B128" s="682"/>
      <c r="C128" s="27" t="s">
        <v>80</v>
      </c>
      <c r="D128" s="3"/>
      <c r="E128" s="3"/>
      <c r="F128" s="3"/>
      <c r="G128" s="3"/>
      <c r="H128" s="124">
        <f>N128</f>
        <v>30000</v>
      </c>
      <c r="I128" s="119"/>
      <c r="J128" s="119"/>
      <c r="K128" s="119"/>
      <c r="L128" s="119"/>
      <c r="M128" s="119"/>
      <c r="N128" s="97">
        <f>SUM(N129:N136)</f>
        <v>30000</v>
      </c>
      <c r="O128" s="6"/>
    </row>
    <row r="129" spans="1:15" s="25" customFormat="1" ht="13.5" customHeight="1" hidden="1">
      <c r="A129" s="45" t="s">
        <v>8</v>
      </c>
      <c r="B129" s="8"/>
      <c r="C129" s="9" t="s">
        <v>80</v>
      </c>
      <c r="D129" s="9" t="s">
        <v>81</v>
      </c>
      <c r="E129" s="9" t="s">
        <v>108</v>
      </c>
      <c r="F129" s="9" t="s">
        <v>128</v>
      </c>
      <c r="G129" s="9" t="s">
        <v>115</v>
      </c>
      <c r="H129" s="126">
        <f aca="true" t="shared" si="7" ref="H129:H135">N129</f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/>
      <c r="N129" s="122"/>
      <c r="O129" s="6"/>
    </row>
    <row r="130" spans="1:15" s="25" customFormat="1" ht="13.5" customHeight="1" hidden="1">
      <c r="A130" s="22" t="s">
        <v>11</v>
      </c>
      <c r="B130" s="9"/>
      <c r="C130" s="9" t="s">
        <v>80</v>
      </c>
      <c r="D130" s="9" t="s">
        <v>81</v>
      </c>
      <c r="E130" s="9" t="s">
        <v>108</v>
      </c>
      <c r="F130" s="9" t="s">
        <v>121</v>
      </c>
      <c r="G130" s="9" t="s">
        <v>115</v>
      </c>
      <c r="H130" s="126">
        <f t="shared" si="7"/>
        <v>0</v>
      </c>
      <c r="I130" s="107" t="s">
        <v>76</v>
      </c>
      <c r="J130" s="107" t="s">
        <v>76</v>
      </c>
      <c r="K130" s="107" t="s">
        <v>76</v>
      </c>
      <c r="L130" s="107" t="s">
        <v>76</v>
      </c>
      <c r="M130" s="107"/>
      <c r="N130" s="122"/>
      <c r="O130" s="6"/>
    </row>
    <row r="131" spans="1:15" s="25" customFormat="1" ht="13.5" customHeight="1" hidden="1">
      <c r="A131" s="22" t="s">
        <v>11</v>
      </c>
      <c r="B131" s="9"/>
      <c r="C131" s="9" t="s">
        <v>80</v>
      </c>
      <c r="D131" s="9" t="s">
        <v>81</v>
      </c>
      <c r="E131" s="9" t="s">
        <v>218</v>
      </c>
      <c r="F131" s="9" t="s">
        <v>121</v>
      </c>
      <c r="G131" s="9" t="s">
        <v>115</v>
      </c>
      <c r="H131" s="126">
        <f>N131</f>
        <v>0</v>
      </c>
      <c r="I131" s="107" t="s">
        <v>76</v>
      </c>
      <c r="J131" s="107" t="s">
        <v>76</v>
      </c>
      <c r="K131" s="107" t="s">
        <v>76</v>
      </c>
      <c r="L131" s="107" t="s">
        <v>76</v>
      </c>
      <c r="M131" s="107" t="s">
        <v>76</v>
      </c>
      <c r="N131" s="78"/>
      <c r="O131" s="6"/>
    </row>
    <row r="132" spans="1:15" s="25" customFormat="1" ht="13.5" customHeight="1" hidden="1">
      <c r="A132" s="22" t="s">
        <v>12</v>
      </c>
      <c r="B132" s="9"/>
      <c r="C132" s="9" t="s">
        <v>80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>
        <f t="shared" si="7"/>
        <v>0</v>
      </c>
      <c r="I132" s="107" t="s">
        <v>76</v>
      </c>
      <c r="J132" s="107"/>
      <c r="K132" s="107" t="s">
        <v>76</v>
      </c>
      <c r="L132" s="107" t="s">
        <v>76</v>
      </c>
      <c r="M132" s="107"/>
      <c r="N132" s="139"/>
      <c r="O132" s="6"/>
    </row>
    <row r="133" spans="1:15" s="25" customFormat="1" ht="13.5" customHeight="1">
      <c r="A133" s="22" t="s">
        <v>12</v>
      </c>
      <c r="B133" s="9"/>
      <c r="C133" s="9" t="s">
        <v>80</v>
      </c>
      <c r="D133" s="9" t="s">
        <v>81</v>
      </c>
      <c r="E133" s="9" t="s">
        <v>108</v>
      </c>
      <c r="F133" s="9" t="s">
        <v>116</v>
      </c>
      <c r="G133" s="9" t="s">
        <v>115</v>
      </c>
      <c r="H133" s="126">
        <f>N133</f>
        <v>30000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 t="s">
        <v>76</v>
      </c>
      <c r="N133" s="78">
        <v>30000</v>
      </c>
      <c r="O133" s="6"/>
    </row>
    <row r="134" spans="1:15" s="25" customFormat="1" ht="13.5" customHeight="1" hidden="1">
      <c r="A134" s="22" t="s">
        <v>14</v>
      </c>
      <c r="B134" s="9"/>
      <c r="C134" s="9" t="s">
        <v>80</v>
      </c>
      <c r="D134" s="9" t="s">
        <v>81</v>
      </c>
      <c r="E134" s="9" t="s">
        <v>108</v>
      </c>
      <c r="F134" s="9" t="s">
        <v>118</v>
      </c>
      <c r="G134" s="9" t="s">
        <v>115</v>
      </c>
      <c r="H134" s="126">
        <f t="shared" si="7"/>
        <v>0</v>
      </c>
      <c r="I134" s="107" t="s">
        <v>76</v>
      </c>
      <c r="J134" s="107" t="s">
        <v>76</v>
      </c>
      <c r="K134" s="107" t="s">
        <v>76</v>
      </c>
      <c r="L134" s="107" t="s">
        <v>76</v>
      </c>
      <c r="M134" s="107"/>
      <c r="N134" s="122"/>
      <c r="O134" s="6"/>
    </row>
    <row r="135" spans="1:15" s="25" customFormat="1" ht="13.5" customHeight="1" hidden="1">
      <c r="A135" s="22" t="s">
        <v>188</v>
      </c>
      <c r="B135" s="9"/>
      <c r="C135" s="9" t="s">
        <v>80</v>
      </c>
      <c r="D135" s="9" t="s">
        <v>81</v>
      </c>
      <c r="E135" s="9" t="s">
        <v>108</v>
      </c>
      <c r="F135" s="9" t="s">
        <v>119</v>
      </c>
      <c r="G135" s="9" t="s">
        <v>115</v>
      </c>
      <c r="H135" s="126">
        <f t="shared" si="7"/>
        <v>0</v>
      </c>
      <c r="I135" s="107" t="s">
        <v>76</v>
      </c>
      <c r="J135" s="107"/>
      <c r="K135" s="107" t="s">
        <v>76</v>
      </c>
      <c r="L135" s="107" t="s">
        <v>76</v>
      </c>
      <c r="M135" s="107"/>
      <c r="N135" s="99"/>
      <c r="O135" s="6"/>
    </row>
    <row r="136" spans="1:15" s="25" customFormat="1" ht="13.5" customHeight="1" hidden="1">
      <c r="A136" s="66" t="s">
        <v>221</v>
      </c>
      <c r="B136" s="66"/>
      <c r="C136" s="59" t="s">
        <v>80</v>
      </c>
      <c r="D136" s="59" t="s">
        <v>81</v>
      </c>
      <c r="E136" s="59" t="s">
        <v>218</v>
      </c>
      <c r="F136" s="59" t="s">
        <v>119</v>
      </c>
      <c r="G136" s="59" t="s">
        <v>115</v>
      </c>
      <c r="H136" s="127">
        <f>N136</f>
        <v>0</v>
      </c>
      <c r="I136" s="101" t="s">
        <v>76</v>
      </c>
      <c r="J136" s="123"/>
      <c r="K136" s="107" t="s">
        <v>76</v>
      </c>
      <c r="L136" s="123"/>
      <c r="M136" s="123"/>
      <c r="N136" s="78"/>
      <c r="O136" s="6"/>
    </row>
    <row r="137" spans="1:15" s="25" customFormat="1" ht="27">
      <c r="A137" s="96" t="s">
        <v>129</v>
      </c>
      <c r="B137" s="32" t="s">
        <v>130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I137+N137+K137</f>
        <v>16689700</v>
      </c>
      <c r="I137" s="130">
        <f>I51+I54+I81+I82+I52+I66</f>
        <v>16679700</v>
      </c>
      <c r="J137" s="130"/>
      <c r="K137" s="130">
        <f>K123</f>
        <v>10000</v>
      </c>
      <c r="L137" s="134" t="s">
        <v>76</v>
      </c>
      <c r="M137" s="134" t="s">
        <v>76</v>
      </c>
      <c r="N137" s="130"/>
      <c r="O137" s="6" t="s">
        <v>76</v>
      </c>
    </row>
    <row r="138" spans="1:15" s="25" customFormat="1" ht="27">
      <c r="A138" s="96" t="s">
        <v>131</v>
      </c>
      <c r="B138" s="32" t="s">
        <v>132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H140+H139</f>
        <v>6164479</v>
      </c>
      <c r="I138" s="130">
        <f>I140+I139</f>
        <v>4367139</v>
      </c>
      <c r="J138" s="130">
        <f>J140+J139</f>
        <v>0</v>
      </c>
      <c r="K138" s="130">
        <f>K140+K139</f>
        <v>1767340</v>
      </c>
      <c r="L138" s="134"/>
      <c r="M138" s="134"/>
      <c r="N138" s="130">
        <f>N140+N139</f>
        <v>30000</v>
      </c>
      <c r="O138" s="6"/>
    </row>
    <row r="139" spans="1:15" s="25" customFormat="1" ht="24" customHeight="1">
      <c r="A139" s="96" t="s">
        <v>133</v>
      </c>
      <c r="B139" s="32" t="s">
        <v>134</v>
      </c>
      <c r="C139" s="33" t="s">
        <v>76</v>
      </c>
      <c r="D139" s="33" t="s">
        <v>76</v>
      </c>
      <c r="E139" s="33" t="s">
        <v>76</v>
      </c>
      <c r="F139" s="33" t="s">
        <v>76</v>
      </c>
      <c r="G139" s="33" t="s">
        <v>76</v>
      </c>
      <c r="H139" s="130">
        <f>I139+N139+K139</f>
        <v>0</v>
      </c>
      <c r="I139" s="130"/>
      <c r="J139" s="130"/>
      <c r="K139" s="130">
        <v>0</v>
      </c>
      <c r="L139" s="134"/>
      <c r="M139" s="134"/>
      <c r="N139" s="130">
        <v>0</v>
      </c>
      <c r="O139" s="6"/>
    </row>
    <row r="140" spans="1:15" s="25" customFormat="1" ht="12.75" customHeight="1">
      <c r="A140" s="96" t="s">
        <v>135</v>
      </c>
      <c r="B140" s="32" t="s">
        <v>136</v>
      </c>
      <c r="C140" s="33" t="s">
        <v>76</v>
      </c>
      <c r="D140" s="33" t="s">
        <v>76</v>
      </c>
      <c r="E140" s="33" t="s">
        <v>76</v>
      </c>
      <c r="F140" s="33" t="s">
        <v>76</v>
      </c>
      <c r="G140" s="33" t="s">
        <v>76</v>
      </c>
      <c r="H140" s="130">
        <f>I140+N140+K140</f>
        <v>6164479</v>
      </c>
      <c r="I140" s="130">
        <f>I56+I61+I62+I63+I64+I67+I72+I73+I75+I77+I78+I79+I80+I91+I86+I87+I68+I69+I70+I71+I88+I76</f>
        <v>4367139</v>
      </c>
      <c r="J140" s="130"/>
      <c r="K140" s="130">
        <f>K95+K99+K120+K121+K108+K109+K110+K113+K115+K102+K103+K104+K105+K101+K125+K127+K112</f>
        <v>1767340</v>
      </c>
      <c r="L140" s="134" t="s">
        <v>76</v>
      </c>
      <c r="M140" s="134" t="s">
        <v>76</v>
      </c>
      <c r="N140" s="130">
        <f>N129+N130+N132+N134+N135+N131+N133+N136</f>
        <v>30000</v>
      </c>
      <c r="O140" s="6" t="s">
        <v>76</v>
      </c>
    </row>
    <row r="141" spans="1:15" s="25" customFormat="1" ht="13.5" hidden="1">
      <c r="A141" s="8" t="s">
        <v>137</v>
      </c>
      <c r="B141" s="9" t="s">
        <v>138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f>I141+N141</f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139</v>
      </c>
      <c r="B142" s="9" t="s">
        <v>118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140</v>
      </c>
      <c r="B143" s="9" t="s">
        <v>141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142</v>
      </c>
      <c r="B144" s="9" t="s">
        <v>143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20" t="s">
        <v>144</v>
      </c>
      <c r="B145" s="9" t="s">
        <v>145</v>
      </c>
      <c r="C145" s="34" t="s">
        <v>76</v>
      </c>
      <c r="D145" s="34" t="s">
        <v>76</v>
      </c>
      <c r="E145" s="34" t="s">
        <v>76</v>
      </c>
      <c r="F145" s="34" t="s">
        <v>76</v>
      </c>
      <c r="G145" s="34" t="s">
        <v>76</v>
      </c>
      <c r="H145" s="126">
        <v>0</v>
      </c>
      <c r="I145" s="126">
        <v>0</v>
      </c>
      <c r="J145" s="126"/>
      <c r="K145" s="126"/>
      <c r="L145" s="135" t="s">
        <v>76</v>
      </c>
      <c r="M145" s="135" t="s">
        <v>76</v>
      </c>
      <c r="N145" s="126">
        <v>0</v>
      </c>
      <c r="O145" s="6" t="s">
        <v>76</v>
      </c>
    </row>
    <row r="146" spans="1:15" s="25" customFormat="1" ht="13.5" hidden="1">
      <c r="A146" s="20" t="s">
        <v>146</v>
      </c>
      <c r="B146" s="9" t="s">
        <v>147</v>
      </c>
      <c r="C146" s="34" t="s">
        <v>76</v>
      </c>
      <c r="D146" s="34" t="s">
        <v>76</v>
      </c>
      <c r="E146" s="34" t="s">
        <v>76</v>
      </c>
      <c r="F146" s="34" t="s">
        <v>76</v>
      </c>
      <c r="G146" s="34" t="s">
        <v>76</v>
      </c>
      <c r="H146" s="126">
        <v>0</v>
      </c>
      <c r="I146" s="126">
        <v>0</v>
      </c>
      <c r="J146" s="126"/>
      <c r="K146" s="126"/>
      <c r="L146" s="135" t="s">
        <v>76</v>
      </c>
      <c r="M146" s="135" t="s">
        <v>76</v>
      </c>
      <c r="N146" s="126">
        <v>0</v>
      </c>
      <c r="O146" s="6" t="s">
        <v>76</v>
      </c>
    </row>
    <row r="147" spans="1:15" s="25" customFormat="1" ht="13.5">
      <c r="A147" s="48" t="s">
        <v>137</v>
      </c>
      <c r="B147" s="49" t="s">
        <v>138</v>
      </c>
      <c r="C147" s="50" t="s">
        <v>173</v>
      </c>
      <c r="D147" s="49" t="s">
        <v>81</v>
      </c>
      <c r="E147" s="50" t="s">
        <v>174</v>
      </c>
      <c r="F147" s="50" t="s">
        <v>174</v>
      </c>
      <c r="G147" s="50" t="s">
        <v>175</v>
      </c>
      <c r="H147" s="132">
        <v>28653.9</v>
      </c>
      <c r="I147" s="136"/>
      <c r="J147" s="136"/>
      <c r="K147" s="136"/>
      <c r="L147" s="137"/>
      <c r="M147" s="137"/>
      <c r="N147" s="136"/>
      <c r="O147" s="6"/>
    </row>
    <row r="148" spans="1:15" s="25" customFormat="1" ht="13.5">
      <c r="A148" s="51" t="s">
        <v>142</v>
      </c>
      <c r="B148" s="49" t="s">
        <v>143</v>
      </c>
      <c r="C148" s="50" t="s">
        <v>173</v>
      </c>
      <c r="D148" s="49" t="s">
        <v>81</v>
      </c>
      <c r="E148" s="50" t="s">
        <v>174</v>
      </c>
      <c r="F148" s="50" t="s">
        <v>174</v>
      </c>
      <c r="G148" s="50" t="s">
        <v>176</v>
      </c>
      <c r="H148" s="132">
        <v>28653.9</v>
      </c>
      <c r="I148" s="136"/>
      <c r="J148" s="136"/>
      <c r="K148" s="136"/>
      <c r="L148" s="137"/>
      <c r="M148" s="137"/>
      <c r="N148" s="136"/>
      <c r="O148" s="6"/>
    </row>
    <row r="149" spans="1:15" s="25" customFormat="1" ht="13.5">
      <c r="A149" s="35" t="s">
        <v>148</v>
      </c>
      <c r="B149" s="36" t="s">
        <v>149</v>
      </c>
      <c r="C149" s="37" t="s">
        <v>76</v>
      </c>
      <c r="D149" s="37" t="s">
        <v>76</v>
      </c>
      <c r="E149" s="37" t="s">
        <v>76</v>
      </c>
      <c r="F149" s="37" t="s">
        <v>76</v>
      </c>
      <c r="G149" s="37" t="s">
        <v>76</v>
      </c>
      <c r="H149" s="133">
        <f>I149+K149+N149</f>
        <v>0</v>
      </c>
      <c r="I149" s="133">
        <v>0</v>
      </c>
      <c r="J149" s="133"/>
      <c r="K149" s="133"/>
      <c r="L149" s="138" t="s">
        <v>76</v>
      </c>
      <c r="M149" s="138" t="s">
        <v>76</v>
      </c>
      <c r="N149" s="133"/>
      <c r="O149" s="6" t="s">
        <v>76</v>
      </c>
    </row>
    <row r="150" spans="1:15" s="25" customFormat="1" ht="13.5">
      <c r="A150" s="20" t="s">
        <v>150</v>
      </c>
      <c r="B150" s="9" t="s">
        <v>151</v>
      </c>
      <c r="C150" s="34" t="s">
        <v>76</v>
      </c>
      <c r="D150" s="34" t="s">
        <v>76</v>
      </c>
      <c r="E150" s="34" t="s">
        <v>76</v>
      </c>
      <c r="F150" s="34" t="s">
        <v>76</v>
      </c>
      <c r="G150" s="34" t="s">
        <v>76</v>
      </c>
      <c r="H150" s="126">
        <v>0</v>
      </c>
      <c r="I150" s="126">
        <v>0</v>
      </c>
      <c r="J150" s="126"/>
      <c r="K150" s="126"/>
      <c r="L150" s="135" t="s">
        <v>76</v>
      </c>
      <c r="M150" s="135" t="s">
        <v>76</v>
      </c>
      <c r="N150" s="126">
        <v>0</v>
      </c>
      <c r="O150" s="6" t="s">
        <v>76</v>
      </c>
    </row>
    <row r="152" ht="12.75">
      <c r="A152" s="88" t="s">
        <v>271</v>
      </c>
    </row>
    <row r="153" ht="12.75">
      <c r="A153" s="88"/>
    </row>
    <row r="154" ht="19.5" customHeight="1">
      <c r="A154" s="88" t="s">
        <v>17</v>
      </c>
    </row>
    <row r="155" ht="12.75">
      <c r="A155" s="88" t="s">
        <v>272</v>
      </c>
    </row>
    <row r="156" ht="12.75">
      <c r="A156" s="88"/>
    </row>
    <row r="157" ht="13.5" customHeight="1">
      <c r="A157" s="89"/>
    </row>
    <row r="158" ht="13.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  <row r="164" ht="12.75" customHeight="1">
      <c r="A164" s="89"/>
    </row>
    <row r="165" ht="12.75" customHeight="1">
      <c r="A165" s="89"/>
    </row>
  </sheetData>
  <sheetProtection/>
  <mergeCells count="80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B15:B22"/>
    <mergeCell ref="F18:F22"/>
    <mergeCell ref="H4:O4"/>
    <mergeCell ref="H5:H6"/>
    <mergeCell ref="I5:O5"/>
    <mergeCell ref="N6:O6"/>
    <mergeCell ref="B10:B14"/>
    <mergeCell ref="C11:C13"/>
    <mergeCell ref="E11:E13"/>
    <mergeCell ref="F11:F13"/>
    <mergeCell ref="F40:F41"/>
    <mergeCell ref="F35:F37"/>
    <mergeCell ref="A29:A34"/>
    <mergeCell ref="F30:F34"/>
    <mergeCell ref="J15:J16"/>
    <mergeCell ref="A16:A17"/>
    <mergeCell ref="C16:C17"/>
    <mergeCell ref="E16:E17"/>
    <mergeCell ref="F16:F17"/>
    <mergeCell ref="G16:G17"/>
    <mergeCell ref="A50:B50"/>
    <mergeCell ref="A40:A41"/>
    <mergeCell ref="C40:C41"/>
    <mergeCell ref="A18:A22"/>
    <mergeCell ref="C18:C22"/>
    <mergeCell ref="A72:A73"/>
    <mergeCell ref="C72:C73"/>
    <mergeCell ref="C63:C64"/>
    <mergeCell ref="A35:A37"/>
    <mergeCell ref="C35:C37"/>
    <mergeCell ref="F63:F64"/>
    <mergeCell ref="E63:E64"/>
    <mergeCell ref="G63:G64"/>
    <mergeCell ref="A56:A61"/>
    <mergeCell ref="C56:C61"/>
    <mergeCell ref="F56:F61"/>
    <mergeCell ref="A63:A64"/>
    <mergeCell ref="E67:E68"/>
    <mergeCell ref="E72:E73"/>
    <mergeCell ref="F72:F73"/>
    <mergeCell ref="G79:G80"/>
    <mergeCell ref="G77:G78"/>
    <mergeCell ref="E79:E80"/>
    <mergeCell ref="F79:F80"/>
    <mergeCell ref="F77:F78"/>
    <mergeCell ref="G72:G73"/>
    <mergeCell ref="E77:E78"/>
    <mergeCell ref="A92:B92"/>
    <mergeCell ref="A74:B74"/>
    <mergeCell ref="A77:A78"/>
    <mergeCell ref="C77:C78"/>
    <mergeCell ref="C79:C80"/>
    <mergeCell ref="A79:A80"/>
    <mergeCell ref="G108:G110"/>
    <mergeCell ref="A128:B128"/>
    <mergeCell ref="A114:B114"/>
    <mergeCell ref="A112:A113"/>
    <mergeCell ref="C112:C113"/>
    <mergeCell ref="A119:B119"/>
    <mergeCell ref="A117:B117"/>
    <mergeCell ref="F112:F113"/>
    <mergeCell ref="G112:G113"/>
    <mergeCell ref="F108:F110"/>
    <mergeCell ref="A96:B96"/>
    <mergeCell ref="A100:B100"/>
    <mergeCell ref="A106:B106"/>
    <mergeCell ref="E112:E113"/>
    <mergeCell ref="A108:A110"/>
    <mergeCell ref="C108:C110"/>
    <mergeCell ref="E108:E11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5"/>
  <sheetViews>
    <sheetView zoomScalePageLayoutView="0" workbookViewId="0" topLeftCell="A74">
      <selection activeCell="H140" sqref="H140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7.75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344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22889179</v>
      </c>
      <c r="I9" s="124">
        <f>I15</f>
        <v>21046839</v>
      </c>
      <c r="J9" s="124"/>
      <c r="K9" s="124">
        <f>K23</f>
        <v>1777340</v>
      </c>
      <c r="L9" s="125" t="s">
        <v>76</v>
      </c>
      <c r="M9" s="125" t="s">
        <v>76</v>
      </c>
      <c r="N9" s="124">
        <f>N10</f>
        <v>65000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65000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65000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 hidden="1">
      <c r="A12" s="65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0</v>
      </c>
      <c r="I12" s="26" t="s">
        <v>76</v>
      </c>
      <c r="J12" s="26"/>
      <c r="K12" s="26" t="s">
        <v>76</v>
      </c>
      <c r="L12" s="26"/>
      <c r="M12" s="26"/>
      <c r="N12" s="99"/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402" t="s">
        <v>83</v>
      </c>
      <c r="B14" s="695"/>
      <c r="C14" s="398" t="s">
        <v>80</v>
      </c>
      <c r="D14" s="398" t="s">
        <v>81</v>
      </c>
      <c r="E14" s="398"/>
      <c r="F14" s="398" t="s">
        <v>346</v>
      </c>
      <c r="G14" s="398"/>
      <c r="H14" s="399">
        <f>N14</f>
        <v>35000</v>
      </c>
      <c r="I14" s="403" t="s">
        <v>76</v>
      </c>
      <c r="J14" s="403"/>
      <c r="K14" s="403" t="s">
        <v>76</v>
      </c>
      <c r="L14" s="403" t="s">
        <v>76</v>
      </c>
      <c r="M14" s="403" t="s">
        <v>76</v>
      </c>
      <c r="N14" s="404">
        <v>35000</v>
      </c>
      <c r="O14" s="7" t="s">
        <v>76</v>
      </c>
    </row>
    <row r="15" spans="1:15" ht="16.5" customHeight="1">
      <c r="A15" s="65" t="s">
        <v>85</v>
      </c>
      <c r="B15" s="702" t="s">
        <v>86</v>
      </c>
      <c r="C15" s="62" t="s">
        <v>76</v>
      </c>
      <c r="D15" s="59"/>
      <c r="E15" s="62" t="s">
        <v>76</v>
      </c>
      <c r="F15" s="62" t="s">
        <v>76</v>
      </c>
      <c r="G15" s="62" t="s">
        <v>76</v>
      </c>
      <c r="H15" s="127">
        <f>SUM(H16:H22)</f>
        <v>21046839</v>
      </c>
      <c r="I15" s="100">
        <f>I16+I18+I19+I17+I22</f>
        <v>21046839</v>
      </c>
      <c r="J15" s="712"/>
      <c r="K15" s="101" t="s">
        <v>76</v>
      </c>
      <c r="L15" s="102" t="s">
        <v>76</v>
      </c>
      <c r="M15" s="102" t="s">
        <v>76</v>
      </c>
      <c r="N15" s="101" t="s">
        <v>76</v>
      </c>
      <c r="O15" s="7" t="s">
        <v>76</v>
      </c>
    </row>
    <row r="16" spans="1:16" ht="12.75">
      <c r="A16" s="713" t="s">
        <v>197</v>
      </c>
      <c r="B16" s="703"/>
      <c r="C16" s="715" t="s">
        <v>18</v>
      </c>
      <c r="D16" s="59" t="s">
        <v>81</v>
      </c>
      <c r="E16" s="715"/>
      <c r="F16" s="705">
        <v>131</v>
      </c>
      <c r="G16" s="705"/>
      <c r="H16" s="127">
        <f aca="true" t="shared" si="0" ref="H16:H22">I16</f>
        <v>408300</v>
      </c>
      <c r="I16" s="359">
        <f>408300</f>
        <v>408300</v>
      </c>
      <c r="J16" s="712"/>
      <c r="K16" s="101" t="s">
        <v>76</v>
      </c>
      <c r="L16" s="102" t="s">
        <v>76</v>
      </c>
      <c r="M16" s="102" t="s">
        <v>76</v>
      </c>
      <c r="N16" s="101" t="s">
        <v>76</v>
      </c>
      <c r="O16" s="7" t="s">
        <v>76</v>
      </c>
      <c r="P16" s="13"/>
    </row>
    <row r="17" spans="1:16" ht="12.75">
      <c r="A17" s="714"/>
      <c r="B17" s="703"/>
      <c r="C17" s="716"/>
      <c r="D17" s="69">
        <v>14130030000000000</v>
      </c>
      <c r="E17" s="716"/>
      <c r="F17" s="707"/>
      <c r="G17" s="707"/>
      <c r="H17" s="127">
        <f t="shared" si="0"/>
        <v>16689500</v>
      </c>
      <c r="I17" s="103">
        <v>16689500</v>
      </c>
      <c r="J17" s="100"/>
      <c r="K17" s="101" t="s">
        <v>76</v>
      </c>
      <c r="L17" s="102" t="s">
        <v>76</v>
      </c>
      <c r="M17" s="102" t="s">
        <v>76</v>
      </c>
      <c r="N17" s="101" t="s">
        <v>76</v>
      </c>
      <c r="O17" s="7"/>
      <c r="P17" s="13"/>
    </row>
    <row r="18" spans="1:15" ht="15" customHeight="1">
      <c r="A18" s="699" t="s">
        <v>198</v>
      </c>
      <c r="B18" s="703"/>
      <c r="C18" s="702" t="s">
        <v>20</v>
      </c>
      <c r="D18" s="59" t="s">
        <v>81</v>
      </c>
      <c r="E18" s="70"/>
      <c r="F18" s="705">
        <v>131</v>
      </c>
      <c r="G18" s="59"/>
      <c r="H18" s="126">
        <f t="shared" si="0"/>
        <v>1394239</v>
      </c>
      <c r="I18" s="359">
        <f>1543600-149361</f>
        <v>1394239</v>
      </c>
      <c r="J18" s="100"/>
      <c r="K18" s="102" t="s">
        <v>76</v>
      </c>
      <c r="L18" s="102" t="s">
        <v>76</v>
      </c>
      <c r="M18" s="102" t="s">
        <v>76</v>
      </c>
      <c r="N18" s="102" t="s">
        <v>76</v>
      </c>
      <c r="O18" s="7" t="s">
        <v>76</v>
      </c>
    </row>
    <row r="19" spans="1:15" ht="25.5" customHeight="1" hidden="1">
      <c r="A19" s="700"/>
      <c r="B19" s="703"/>
      <c r="C19" s="703"/>
      <c r="D19" s="71"/>
      <c r="E19" s="70"/>
      <c r="F19" s="706"/>
      <c r="G19" s="59"/>
      <c r="H19" s="127">
        <f t="shared" si="0"/>
        <v>0</v>
      </c>
      <c r="I19" s="100"/>
      <c r="J19" s="100"/>
      <c r="K19" s="102" t="s">
        <v>76</v>
      </c>
      <c r="L19" s="102" t="s">
        <v>76</v>
      </c>
      <c r="M19" s="102" t="s">
        <v>76</v>
      </c>
      <c r="N19" s="102" t="s">
        <v>76</v>
      </c>
      <c r="O19" s="7" t="s">
        <v>76</v>
      </c>
    </row>
    <row r="20" spans="1:15" ht="25.5" customHeight="1" hidden="1">
      <c r="A20" s="700"/>
      <c r="B20" s="703"/>
      <c r="C20" s="703"/>
      <c r="D20" s="70"/>
      <c r="E20" s="59"/>
      <c r="F20" s="706"/>
      <c r="G20" s="59"/>
      <c r="H20" s="127">
        <f t="shared" si="0"/>
        <v>0</v>
      </c>
      <c r="I20" s="102"/>
      <c r="J20" s="100"/>
      <c r="K20" s="102" t="s">
        <v>76</v>
      </c>
      <c r="L20" s="102" t="s">
        <v>76</v>
      </c>
      <c r="M20" s="102" t="s">
        <v>76</v>
      </c>
      <c r="N20" s="102" t="s">
        <v>76</v>
      </c>
      <c r="O20" s="7" t="s">
        <v>76</v>
      </c>
    </row>
    <row r="21" spans="1:15" ht="42.75" customHeight="1" hidden="1">
      <c r="A21" s="700"/>
      <c r="B21" s="703"/>
      <c r="C21" s="703"/>
      <c r="D21" s="70"/>
      <c r="E21" s="59"/>
      <c r="F21" s="706"/>
      <c r="G21" s="59"/>
      <c r="H21" s="127">
        <f t="shared" si="0"/>
        <v>0</v>
      </c>
      <c r="I21" s="102"/>
      <c r="J21" s="100"/>
      <c r="K21" s="102" t="s">
        <v>76</v>
      </c>
      <c r="L21" s="102" t="s">
        <v>76</v>
      </c>
      <c r="M21" s="102" t="s">
        <v>76</v>
      </c>
      <c r="N21" s="102" t="s">
        <v>76</v>
      </c>
      <c r="O21" s="7" t="s">
        <v>76</v>
      </c>
    </row>
    <row r="22" spans="1:15" ht="12" customHeight="1">
      <c r="A22" s="701"/>
      <c r="B22" s="704"/>
      <c r="C22" s="704"/>
      <c r="D22" s="69">
        <v>14130030000000000</v>
      </c>
      <c r="E22" s="59"/>
      <c r="F22" s="707"/>
      <c r="G22" s="59"/>
      <c r="H22" s="127">
        <f t="shared" si="0"/>
        <v>2554800</v>
      </c>
      <c r="I22" s="103">
        <v>2554800</v>
      </c>
      <c r="J22" s="100"/>
      <c r="K22" s="102" t="s">
        <v>76</v>
      </c>
      <c r="L22" s="102" t="s">
        <v>76</v>
      </c>
      <c r="M22" s="102" t="s">
        <v>76</v>
      </c>
      <c r="N22" s="102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1777340</v>
      </c>
      <c r="I23" s="102" t="s">
        <v>76</v>
      </c>
      <c r="J23" s="100"/>
      <c r="K23" s="100">
        <f>SUM(K24:K43)</f>
        <v>1777340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308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/>
      <c r="O29" s="7"/>
    </row>
    <row r="30" spans="1:15" ht="21" customHeight="1">
      <c r="A30" s="700"/>
      <c r="B30" s="62"/>
      <c r="C30" s="63" t="s">
        <v>50</v>
      </c>
      <c r="D30" s="393" t="s">
        <v>332</v>
      </c>
      <c r="E30" s="20"/>
      <c r="F30" s="693" t="s">
        <v>284</v>
      </c>
      <c r="G30" s="9"/>
      <c r="H30" s="25"/>
      <c r="I30" s="107" t="s">
        <v>76</v>
      </c>
      <c r="J30" s="108"/>
      <c r="K30" s="109">
        <v>43200</v>
      </c>
      <c r="L30" s="108"/>
      <c r="M30" s="108"/>
      <c r="N30" s="107" t="s">
        <v>76</v>
      </c>
      <c r="O30" s="7"/>
    </row>
    <row r="31" spans="1:15" ht="12.75" customHeight="1">
      <c r="A31" s="700"/>
      <c r="B31" s="62"/>
      <c r="C31" s="63" t="s">
        <v>50</v>
      </c>
      <c r="D31" s="393" t="s">
        <v>214</v>
      </c>
      <c r="E31" s="9"/>
      <c r="F31" s="697"/>
      <c r="G31" s="9"/>
      <c r="H31" s="126">
        <f>K31</f>
        <v>4800</v>
      </c>
      <c r="I31" s="107" t="s">
        <v>76</v>
      </c>
      <c r="J31" s="78"/>
      <c r="K31" s="78">
        <v>4800</v>
      </c>
      <c r="L31" s="26"/>
      <c r="M31" s="26"/>
      <c r="N31" s="107" t="s">
        <v>76</v>
      </c>
      <c r="O31" s="7"/>
    </row>
    <row r="32" spans="1:15" ht="12.75" customHeight="1">
      <c r="A32" s="700"/>
      <c r="B32" s="62"/>
      <c r="C32" s="63" t="s">
        <v>50</v>
      </c>
      <c r="D32" s="393" t="s">
        <v>333</v>
      </c>
      <c r="E32" s="9"/>
      <c r="F32" s="697"/>
      <c r="G32" s="9"/>
      <c r="H32" s="126">
        <f aca="true" t="shared" si="1" ref="H32:H43">K32</f>
        <v>10800</v>
      </c>
      <c r="I32" s="107" t="s">
        <v>76</v>
      </c>
      <c r="J32" s="78"/>
      <c r="K32" s="78">
        <v>10800</v>
      </c>
      <c r="L32" s="26"/>
      <c r="M32" s="26"/>
      <c r="N32" s="107" t="s">
        <v>76</v>
      </c>
      <c r="O32" s="7"/>
    </row>
    <row r="33" spans="1:15" ht="12.75" customHeight="1">
      <c r="A33" s="700"/>
      <c r="B33" s="62"/>
      <c r="C33" s="63" t="s">
        <v>50</v>
      </c>
      <c r="D33" s="393" t="s">
        <v>216</v>
      </c>
      <c r="E33" s="9"/>
      <c r="F33" s="697"/>
      <c r="G33" s="9"/>
      <c r="H33" s="126">
        <f t="shared" si="1"/>
        <v>1200</v>
      </c>
      <c r="I33" s="107" t="s">
        <v>76</v>
      </c>
      <c r="J33" s="78"/>
      <c r="K33" s="78">
        <v>1200</v>
      </c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hidden="1">
      <c r="A35" s="711" t="s">
        <v>155</v>
      </c>
      <c r="B35" s="62"/>
      <c r="C35" s="698" t="s">
        <v>51</v>
      </c>
      <c r="D35" s="6" t="s">
        <v>81</v>
      </c>
      <c r="E35" s="9"/>
      <c r="F35" s="693" t="s">
        <v>284</v>
      </c>
      <c r="G35" s="9"/>
      <c r="H35" s="126">
        <f t="shared" si="1"/>
        <v>0</v>
      </c>
      <c r="I35" s="107" t="s">
        <v>76</v>
      </c>
      <c r="J35" s="78"/>
      <c r="K35" s="78"/>
      <c r="L35" s="26"/>
      <c r="M35" s="26"/>
      <c r="N35" s="107" t="s">
        <v>76</v>
      </c>
      <c r="O35" s="7"/>
    </row>
    <row r="36" spans="1:15" ht="12.75" hidden="1">
      <c r="A36" s="711"/>
      <c r="B36" s="62"/>
      <c r="C36" s="698"/>
      <c r="D36" s="9" t="s">
        <v>196</v>
      </c>
      <c r="E36" s="9"/>
      <c r="F36" s="697"/>
      <c r="G36" s="9"/>
      <c r="H36" s="126">
        <f t="shared" si="1"/>
        <v>0</v>
      </c>
      <c r="I36" s="107" t="s">
        <v>76</v>
      </c>
      <c r="J36" s="78"/>
      <c r="K36" s="78"/>
      <c r="L36" s="26"/>
      <c r="M36" s="26"/>
      <c r="N36" s="107" t="s">
        <v>76</v>
      </c>
      <c r="O36" s="7"/>
    </row>
    <row r="37" spans="1:15" ht="12.75" hidden="1">
      <c r="A37" s="711"/>
      <c r="B37" s="62"/>
      <c r="C37" s="698"/>
      <c r="D37" s="6" t="s">
        <v>166</v>
      </c>
      <c r="E37" s="9"/>
      <c r="F37" s="694"/>
      <c r="G37" s="9"/>
      <c r="H37" s="126">
        <f t="shared" si="1"/>
        <v>0</v>
      </c>
      <c r="I37" s="107" t="s">
        <v>76</v>
      </c>
      <c r="J37" s="78"/>
      <c r="K37" s="78"/>
      <c r="L37" s="26"/>
      <c r="M37" s="26"/>
      <c r="N37" s="107" t="s">
        <v>76</v>
      </c>
      <c r="O37" s="7"/>
    </row>
    <row r="38" spans="1:15" ht="63.75">
      <c r="A38" s="65" t="s">
        <v>43</v>
      </c>
      <c r="B38" s="66"/>
      <c r="C38" s="368" t="s">
        <v>42</v>
      </c>
      <c r="D38" s="6" t="s">
        <v>162</v>
      </c>
      <c r="E38" s="9"/>
      <c r="F38" s="6" t="s">
        <v>284</v>
      </c>
      <c r="G38" s="9"/>
      <c r="H38" s="126">
        <f t="shared" si="1"/>
        <v>950000</v>
      </c>
      <c r="I38" s="107" t="s">
        <v>76</v>
      </c>
      <c r="J38" s="78"/>
      <c r="K38" s="78">
        <v>950000</v>
      </c>
      <c r="L38" s="26"/>
      <c r="M38" s="26"/>
      <c r="N38" s="107" t="s">
        <v>76</v>
      </c>
      <c r="O38" s="7"/>
    </row>
    <row r="39" spans="1:15" ht="25.5">
      <c r="A39" s="65" t="s">
        <v>225</v>
      </c>
      <c r="B39" s="66"/>
      <c r="C39" s="59" t="s">
        <v>203</v>
      </c>
      <c r="D39" s="59" t="s">
        <v>81</v>
      </c>
      <c r="E39" s="59"/>
      <c r="F39" s="6" t="s">
        <v>284</v>
      </c>
      <c r="G39" s="9"/>
      <c r="H39" s="126">
        <f t="shared" si="1"/>
        <v>10000</v>
      </c>
      <c r="I39" s="107" t="s">
        <v>76</v>
      </c>
      <c r="J39" s="78"/>
      <c r="K39" s="78">
        <v>10000</v>
      </c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21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22889179</v>
      </c>
      <c r="I44" s="130">
        <f>I50+I74+I92</f>
        <v>21046839</v>
      </c>
      <c r="J44" s="130"/>
      <c r="K44" s="130">
        <f>K92+K96+K98+K106+K114+K117+K119+K100+K122+K124+K126</f>
        <v>1777340</v>
      </c>
      <c r="L44" s="130"/>
      <c r="M44" s="130"/>
      <c r="N44" s="130">
        <f>N128</f>
        <v>65000</v>
      </c>
      <c r="O44" s="95"/>
      <c r="U44" s="380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 hidden="1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684" t="s">
        <v>12</v>
      </c>
      <c r="B63" s="9"/>
      <c r="C63" s="693" t="s">
        <v>18</v>
      </c>
      <c r="D63" s="9" t="s">
        <v>81</v>
      </c>
      <c r="E63" s="693" t="s">
        <v>108</v>
      </c>
      <c r="F63" s="693" t="s">
        <v>116</v>
      </c>
      <c r="G63" s="693" t="s">
        <v>115</v>
      </c>
      <c r="H63" s="126">
        <f t="shared" si="2"/>
        <v>272300</v>
      </c>
      <c r="I63" s="113">
        <f>216300+56000</f>
        <v>272300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686"/>
      <c r="B64" s="9"/>
      <c r="C64" s="694"/>
      <c r="D64" s="14">
        <v>14130030000000000</v>
      </c>
      <c r="E64" s="694"/>
      <c r="F64" s="694"/>
      <c r="G64" s="694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 t="s">
        <v>109</v>
      </c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 hidden="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0</v>
      </c>
      <c r="I68" s="113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40000</v>
      </c>
      <c r="I70" s="376">
        <f>20000+20000</f>
        <v>40000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394" t="s">
        <v>243</v>
      </c>
      <c r="B71" s="6"/>
      <c r="C71" s="6" t="s">
        <v>18</v>
      </c>
      <c r="D71" s="395">
        <v>14130030000000000</v>
      </c>
      <c r="E71" s="6" t="s">
        <v>108</v>
      </c>
      <c r="F71" s="6" t="s">
        <v>244</v>
      </c>
      <c r="G71" s="6" t="s">
        <v>115</v>
      </c>
      <c r="H71" s="126">
        <f t="shared" si="2"/>
        <v>0</v>
      </c>
      <c r="I71" s="376">
        <f>20000-20000</f>
        <v>0</v>
      </c>
      <c r="J71" s="107"/>
      <c r="K71" s="107" t="s">
        <v>76</v>
      </c>
      <c r="L71" s="107" t="s">
        <v>76</v>
      </c>
      <c r="M71" s="107" t="s">
        <v>76</v>
      </c>
      <c r="N71" s="107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3949039</v>
      </c>
      <c r="I74" s="97">
        <f>SUM(I75:I91)</f>
        <v>3949039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22" t="s">
        <v>9</v>
      </c>
      <c r="B75" s="9"/>
      <c r="C75" s="9" t="s">
        <v>20</v>
      </c>
      <c r="D75" s="9" t="s">
        <v>81</v>
      </c>
      <c r="E75" s="9" t="s">
        <v>108</v>
      </c>
      <c r="F75" s="9" t="s">
        <v>120</v>
      </c>
      <c r="G75" s="9" t="s">
        <v>115</v>
      </c>
      <c r="H75" s="126">
        <f>I75</f>
        <v>934139</v>
      </c>
      <c r="I75" s="78">
        <f>1083500-149361</f>
        <v>934139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 t="s">
        <v>76</v>
      </c>
    </row>
    <row r="76" spans="1:15" s="25" customFormat="1" ht="15" customHeight="1">
      <c r="A76" s="82" t="s">
        <v>8</v>
      </c>
      <c r="B76" s="9"/>
      <c r="C76" s="9" t="s">
        <v>20</v>
      </c>
      <c r="D76" s="9" t="s">
        <v>81</v>
      </c>
      <c r="E76" s="10" t="s">
        <v>108</v>
      </c>
      <c r="F76" s="10" t="s">
        <v>128</v>
      </c>
      <c r="G76" s="10" t="s">
        <v>115</v>
      </c>
      <c r="H76" s="126">
        <f>I76</f>
        <v>17547.48</v>
      </c>
      <c r="I76" s="78">
        <v>17547.48</v>
      </c>
      <c r="J76" s="78"/>
      <c r="K76" s="107"/>
      <c r="L76" s="107"/>
      <c r="M76" s="107"/>
      <c r="N76" s="107"/>
      <c r="O76" s="6"/>
    </row>
    <row r="77" spans="1:15" s="25" customFormat="1" ht="15" customHeight="1">
      <c r="A77" s="691" t="s">
        <v>11</v>
      </c>
      <c r="B77" s="9"/>
      <c r="C77" s="693" t="s">
        <v>20</v>
      </c>
      <c r="D77" s="9" t="s">
        <v>81</v>
      </c>
      <c r="E77" s="693" t="s">
        <v>108</v>
      </c>
      <c r="F77" s="693" t="s">
        <v>121</v>
      </c>
      <c r="G77" s="693" t="s">
        <v>115</v>
      </c>
      <c r="H77" s="126">
        <f aca="true" t="shared" si="3" ref="H77:H91">I77</f>
        <v>231900</v>
      </c>
      <c r="I77" s="396">
        <f>246900-15000</f>
        <v>231900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12.75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3"/>
        <v>2020000</v>
      </c>
      <c r="I78" s="112">
        <v>2020000</v>
      </c>
      <c r="J78" s="362"/>
      <c r="K78" s="107" t="s">
        <v>76</v>
      </c>
      <c r="L78" s="107"/>
      <c r="M78" s="107"/>
      <c r="N78" s="107" t="s">
        <v>76</v>
      </c>
      <c r="O78" s="6"/>
    </row>
    <row r="79" spans="1:15" s="25" customFormat="1" ht="12.75">
      <c r="A79" s="691" t="s">
        <v>12</v>
      </c>
      <c r="B79" s="9"/>
      <c r="C79" s="693" t="s">
        <v>20</v>
      </c>
      <c r="D79" s="9" t="s">
        <v>81</v>
      </c>
      <c r="E79" s="693" t="s">
        <v>108</v>
      </c>
      <c r="F79" s="693" t="s">
        <v>116</v>
      </c>
      <c r="G79" s="693" t="s">
        <v>115</v>
      </c>
      <c r="H79" s="126">
        <f t="shared" si="3"/>
        <v>82352.52</v>
      </c>
      <c r="I79" s="78">
        <f>99900-17547.48</f>
        <v>82352.52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2.75">
      <c r="A80" s="692"/>
      <c r="B80" s="9"/>
      <c r="C80" s="694"/>
      <c r="D80" s="14">
        <v>14130030000000000</v>
      </c>
      <c r="E80" s="694"/>
      <c r="F80" s="694"/>
      <c r="G80" s="694"/>
      <c r="H80" s="126">
        <f t="shared" si="3"/>
        <v>534800</v>
      </c>
      <c r="I80" s="115">
        <v>534800</v>
      </c>
      <c r="J80" s="78"/>
      <c r="K80" s="107" t="s">
        <v>76</v>
      </c>
      <c r="L80" s="107"/>
      <c r="M80" s="107"/>
      <c r="N80" s="107" t="s">
        <v>76</v>
      </c>
      <c r="O80" s="6"/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122</v>
      </c>
      <c r="H81" s="126">
        <f t="shared" si="3"/>
        <v>55400</v>
      </c>
      <c r="I81" s="78">
        <v>55400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22" t="s">
        <v>249</v>
      </c>
      <c r="B82" s="9"/>
      <c r="C82" s="9" t="s">
        <v>20</v>
      </c>
      <c r="D82" s="9" t="s">
        <v>81</v>
      </c>
      <c r="E82" s="9" t="s">
        <v>108</v>
      </c>
      <c r="F82" s="9" t="s">
        <v>206</v>
      </c>
      <c r="G82" s="9" t="s">
        <v>250</v>
      </c>
      <c r="H82" s="126">
        <f t="shared" si="3"/>
        <v>4800</v>
      </c>
      <c r="I82" s="79">
        <v>4800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 hidden="1">
      <c r="A83" s="22" t="s">
        <v>14</v>
      </c>
      <c r="B83" s="9"/>
      <c r="C83" s="9" t="s">
        <v>20</v>
      </c>
      <c r="D83" s="9" t="s">
        <v>81</v>
      </c>
      <c r="E83" s="9" t="s">
        <v>124</v>
      </c>
      <c r="F83" s="9" t="s">
        <v>118</v>
      </c>
      <c r="G83" s="9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51" hidden="1">
      <c r="A84" s="82" t="s">
        <v>237</v>
      </c>
      <c r="B84" s="9"/>
      <c r="C84" s="83" t="s">
        <v>18</v>
      </c>
      <c r="D84" s="9" t="s">
        <v>81</v>
      </c>
      <c r="E84" s="83" t="s">
        <v>124</v>
      </c>
      <c r="F84" s="84" t="s">
        <v>238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38.25" hidden="1">
      <c r="A85" s="82" t="s">
        <v>239</v>
      </c>
      <c r="B85" s="9"/>
      <c r="C85" s="83" t="s">
        <v>18</v>
      </c>
      <c r="D85" s="9" t="s">
        <v>81</v>
      </c>
      <c r="E85" s="83" t="s">
        <v>124</v>
      </c>
      <c r="F85" s="84" t="s">
        <v>240</v>
      </c>
      <c r="G85" s="84" t="s">
        <v>115</v>
      </c>
      <c r="H85" s="126">
        <f t="shared" si="3"/>
        <v>0</v>
      </c>
      <c r="I85" s="78"/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85" t="s">
        <v>248</v>
      </c>
      <c r="B86" s="9"/>
      <c r="C86" s="9" t="s">
        <v>20</v>
      </c>
      <c r="D86" s="9" t="s">
        <v>81</v>
      </c>
      <c r="E86" s="83" t="s">
        <v>108</v>
      </c>
      <c r="F86" s="10" t="s">
        <v>247</v>
      </c>
      <c r="G86" s="84" t="s">
        <v>115</v>
      </c>
      <c r="H86" s="126">
        <f t="shared" si="3"/>
        <v>35000</v>
      </c>
      <c r="I86" s="397">
        <f>10000+10000+15000</f>
        <v>35000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25.5">
      <c r="A87" s="22" t="s">
        <v>241</v>
      </c>
      <c r="B87" s="9"/>
      <c r="C87" s="9" t="s">
        <v>20</v>
      </c>
      <c r="D87" s="9" t="s">
        <v>81</v>
      </c>
      <c r="E87" s="9" t="s">
        <v>108</v>
      </c>
      <c r="F87" s="9" t="s">
        <v>242</v>
      </c>
      <c r="G87" s="9" t="s">
        <v>115</v>
      </c>
      <c r="H87" s="126">
        <f t="shared" si="3"/>
        <v>33100</v>
      </c>
      <c r="I87" s="78">
        <v>33100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25.5" hidden="1">
      <c r="A88" s="85" t="s">
        <v>243</v>
      </c>
      <c r="B88" s="57"/>
      <c r="C88" s="9" t="s">
        <v>20</v>
      </c>
      <c r="D88" s="9" t="s">
        <v>81</v>
      </c>
      <c r="E88" s="9" t="s">
        <v>108</v>
      </c>
      <c r="F88" s="9" t="s">
        <v>244</v>
      </c>
      <c r="G88" s="9" t="s">
        <v>115</v>
      </c>
      <c r="H88" s="126">
        <f t="shared" si="3"/>
        <v>0</v>
      </c>
      <c r="I88" s="78">
        <f>10000-10000</f>
        <v>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/>
      <c r="B90" s="9"/>
      <c r="C90" s="9"/>
      <c r="D90" s="9"/>
      <c r="E90" s="9"/>
      <c r="F90" s="9"/>
      <c r="G90" s="9"/>
      <c r="H90" s="126"/>
      <c r="I90" s="78"/>
      <c r="J90" s="78"/>
      <c r="K90" s="107"/>
      <c r="L90" s="107"/>
      <c r="M90" s="107"/>
      <c r="N90" s="107"/>
      <c r="O90" s="6"/>
    </row>
    <row r="91" spans="1:15" s="25" customFormat="1" ht="12.75" hidden="1">
      <c r="A91" s="22" t="s">
        <v>188</v>
      </c>
      <c r="B91" s="9"/>
      <c r="C91" s="9" t="s">
        <v>20</v>
      </c>
      <c r="D91" s="9" t="s">
        <v>81</v>
      </c>
      <c r="E91" s="9" t="s">
        <v>108</v>
      </c>
      <c r="F91" s="9" t="s">
        <v>119</v>
      </c>
      <c r="G91" s="9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3.5">
      <c r="A92" s="681" t="s">
        <v>125</v>
      </c>
      <c r="B92" s="683"/>
      <c r="C92" s="27" t="s">
        <v>21</v>
      </c>
      <c r="D92" s="3"/>
      <c r="E92" s="27"/>
      <c r="F92" s="3"/>
      <c r="G92" s="3"/>
      <c r="H92" s="124">
        <f>K92</f>
        <v>653340</v>
      </c>
      <c r="I92" s="98"/>
      <c r="J92" s="97"/>
      <c r="K92" s="97">
        <f>K95</f>
        <v>653340</v>
      </c>
      <c r="L92" s="110"/>
      <c r="M92" s="110"/>
      <c r="N92" s="111" t="s">
        <v>107</v>
      </c>
      <c r="O92" s="28"/>
    </row>
    <row r="93" spans="1:15" s="25" customFormat="1" ht="12.75" hidden="1">
      <c r="A93" s="22" t="s">
        <v>4</v>
      </c>
      <c r="B93" s="9"/>
      <c r="C93" s="9"/>
      <c r="D93" s="9"/>
      <c r="E93" s="9"/>
      <c r="F93" s="9" t="s">
        <v>99</v>
      </c>
      <c r="G93" s="9" t="s">
        <v>109</v>
      </c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 hidden="1">
      <c r="A94" s="22" t="s">
        <v>5</v>
      </c>
      <c r="B94" s="9"/>
      <c r="C94" s="9"/>
      <c r="D94" s="9"/>
      <c r="E94" s="9"/>
      <c r="F94" s="9"/>
      <c r="G94" s="9"/>
      <c r="H94" s="126">
        <f>I94</f>
        <v>0</v>
      </c>
      <c r="I94" s="78"/>
      <c r="J94" s="78"/>
      <c r="K94" s="116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3.5">
      <c r="A95" s="22" t="s">
        <v>12</v>
      </c>
      <c r="B95" s="9"/>
      <c r="C95" s="41" t="s">
        <v>21</v>
      </c>
      <c r="D95" s="9" t="s">
        <v>89</v>
      </c>
      <c r="E95" s="9" t="s">
        <v>126</v>
      </c>
      <c r="F95" s="9" t="s">
        <v>116</v>
      </c>
      <c r="G95" s="9" t="s">
        <v>115</v>
      </c>
      <c r="H95" s="126">
        <f aca="true" t="shared" si="4" ref="H95:H105">K95</f>
        <v>653340</v>
      </c>
      <c r="I95" s="107" t="s">
        <v>76</v>
      </c>
      <c r="J95" s="78"/>
      <c r="K95" s="391">
        <f>676900-23560</f>
        <v>653340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8.75" customHeight="1" hidden="1">
      <c r="A96" s="687" t="s">
        <v>127</v>
      </c>
      <c r="B96" s="688"/>
      <c r="C96" s="27" t="s">
        <v>22</v>
      </c>
      <c r="D96" s="3"/>
      <c r="E96" s="3"/>
      <c r="F96" s="3"/>
      <c r="G96" s="3"/>
      <c r="H96" s="131">
        <f t="shared" si="4"/>
        <v>0</v>
      </c>
      <c r="I96" s="117"/>
      <c r="J96" s="110"/>
      <c r="K96" s="118">
        <f>K97</f>
        <v>0</v>
      </c>
      <c r="L96" s="117"/>
      <c r="M96" s="117"/>
      <c r="N96" s="117"/>
      <c r="O96" s="6"/>
    </row>
    <row r="97" spans="1:15" s="25" customFormat="1" ht="13.5" customHeight="1" hidden="1">
      <c r="A97" s="22" t="s">
        <v>12</v>
      </c>
      <c r="B97" s="40"/>
      <c r="C97" s="41" t="s">
        <v>22</v>
      </c>
      <c r="D97" s="9" t="s">
        <v>81</v>
      </c>
      <c r="E97" s="9" t="s">
        <v>108</v>
      </c>
      <c r="F97" s="9" t="s">
        <v>116</v>
      </c>
      <c r="G97" s="9" t="s">
        <v>115</v>
      </c>
      <c r="H97" s="126">
        <f t="shared" si="4"/>
        <v>0</v>
      </c>
      <c r="I97" s="107" t="s">
        <v>76</v>
      </c>
      <c r="J97" s="78"/>
      <c r="K97" s="116"/>
      <c r="L97" s="107"/>
      <c r="M97" s="107"/>
      <c r="N97" s="107" t="s">
        <v>76</v>
      </c>
      <c r="O97" s="6"/>
    </row>
    <row r="98" spans="1:15" s="25" customFormat="1" ht="28.5" customHeight="1">
      <c r="A98" s="39" t="s">
        <v>190</v>
      </c>
      <c r="B98" s="55"/>
      <c r="C98" s="27" t="s">
        <v>41</v>
      </c>
      <c r="D98" s="3"/>
      <c r="E98" s="3"/>
      <c r="F98" s="3"/>
      <c r="G98" s="3"/>
      <c r="H98" s="124">
        <f t="shared" si="4"/>
        <v>24000</v>
      </c>
      <c r="I98" s="119"/>
      <c r="J98" s="97"/>
      <c r="K98" s="120">
        <f>K99</f>
        <v>24000</v>
      </c>
      <c r="L98" s="117"/>
      <c r="M98" s="117"/>
      <c r="N98" s="117"/>
      <c r="O98" s="6"/>
    </row>
    <row r="99" spans="1:15" s="25" customFormat="1" ht="12.75">
      <c r="A99" s="22" t="s">
        <v>12</v>
      </c>
      <c r="B99" s="40"/>
      <c r="C99" s="9" t="s">
        <v>41</v>
      </c>
      <c r="D99" s="9" t="s">
        <v>81</v>
      </c>
      <c r="E99" s="9" t="s">
        <v>154</v>
      </c>
      <c r="F99" s="9" t="s">
        <v>116</v>
      </c>
      <c r="G99" s="9" t="s">
        <v>115</v>
      </c>
      <c r="H99" s="126">
        <f t="shared" si="4"/>
        <v>24000</v>
      </c>
      <c r="I99" s="107" t="s">
        <v>76</v>
      </c>
      <c r="J99" s="78"/>
      <c r="K99" s="116">
        <v>24000</v>
      </c>
      <c r="L99" s="107"/>
      <c r="M99" s="107"/>
      <c r="N99" s="107" t="s">
        <v>76</v>
      </c>
      <c r="O99" s="6"/>
    </row>
    <row r="100" spans="1:15" s="25" customFormat="1" ht="41.25" customHeight="1">
      <c r="A100" s="681" t="s">
        <v>334</v>
      </c>
      <c r="B100" s="683"/>
      <c r="C100" s="27" t="s">
        <v>211</v>
      </c>
      <c r="D100" s="3"/>
      <c r="E100" s="3"/>
      <c r="F100" s="3"/>
      <c r="G100" s="3"/>
      <c r="H100" s="124">
        <f t="shared" si="4"/>
        <v>140000</v>
      </c>
      <c r="I100" s="117" t="s">
        <v>76</v>
      </c>
      <c r="J100" s="110"/>
      <c r="K100" s="97">
        <f>SUM(K101:K105)</f>
        <v>140000</v>
      </c>
      <c r="L100" s="117"/>
      <c r="M100" s="117"/>
      <c r="N100" s="117" t="s">
        <v>76</v>
      </c>
      <c r="O100" s="6"/>
    </row>
    <row r="101" spans="1:15" s="25" customFormat="1" ht="12.75">
      <c r="A101" s="22" t="s">
        <v>12</v>
      </c>
      <c r="B101" s="57"/>
      <c r="C101" s="9" t="s">
        <v>204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80000</v>
      </c>
      <c r="I101" s="107" t="s">
        <v>76</v>
      </c>
      <c r="J101" s="107"/>
      <c r="K101" s="116">
        <v>80000</v>
      </c>
      <c r="L101" s="107"/>
      <c r="M101" s="107"/>
      <c r="N101" s="107" t="s">
        <v>76</v>
      </c>
      <c r="O101" s="6"/>
    </row>
    <row r="102" spans="1:15" s="25" customFormat="1" ht="12.75">
      <c r="A102" s="8" t="s">
        <v>335</v>
      </c>
      <c r="B102" s="9"/>
      <c r="C102" s="9" t="s">
        <v>211</v>
      </c>
      <c r="D102" s="393" t="s">
        <v>332</v>
      </c>
      <c r="E102" s="9" t="s">
        <v>108</v>
      </c>
      <c r="F102" s="9" t="s">
        <v>116</v>
      </c>
      <c r="G102" s="9" t="s">
        <v>115</v>
      </c>
      <c r="H102" s="126">
        <f t="shared" si="4"/>
        <v>43200</v>
      </c>
      <c r="I102" s="107" t="s">
        <v>76</v>
      </c>
      <c r="J102" s="78"/>
      <c r="K102" s="109">
        <v>43200</v>
      </c>
      <c r="L102" s="107"/>
      <c r="M102" s="107"/>
      <c r="N102" s="107" t="s">
        <v>76</v>
      </c>
      <c r="O102" s="64" t="s">
        <v>76</v>
      </c>
    </row>
    <row r="103" spans="1:15" s="25" customFormat="1" ht="12.75">
      <c r="A103" s="8" t="s">
        <v>336</v>
      </c>
      <c r="B103" s="9"/>
      <c r="C103" s="9" t="s">
        <v>211</v>
      </c>
      <c r="D103" s="393" t="s">
        <v>214</v>
      </c>
      <c r="E103" s="9" t="s">
        <v>108</v>
      </c>
      <c r="F103" s="9" t="s">
        <v>116</v>
      </c>
      <c r="G103" s="9" t="s">
        <v>115</v>
      </c>
      <c r="H103" s="126">
        <f t="shared" si="4"/>
        <v>4800</v>
      </c>
      <c r="I103" s="107" t="s">
        <v>76</v>
      </c>
      <c r="J103" s="78"/>
      <c r="K103" s="78">
        <v>4800</v>
      </c>
      <c r="L103" s="107"/>
      <c r="M103" s="107"/>
      <c r="N103" s="107" t="s">
        <v>76</v>
      </c>
      <c r="O103" s="6"/>
    </row>
    <row r="104" spans="1:15" s="25" customFormat="1" ht="12.75">
      <c r="A104" s="8" t="s">
        <v>336</v>
      </c>
      <c r="B104" s="9"/>
      <c r="C104" s="9" t="s">
        <v>211</v>
      </c>
      <c r="D104" s="393" t="s">
        <v>333</v>
      </c>
      <c r="E104" s="9" t="s">
        <v>108</v>
      </c>
      <c r="F104" s="9" t="s">
        <v>116</v>
      </c>
      <c r="G104" s="9" t="s">
        <v>115</v>
      </c>
      <c r="H104" s="126">
        <f t="shared" si="4"/>
        <v>10800</v>
      </c>
      <c r="I104" s="107" t="s">
        <v>76</v>
      </c>
      <c r="J104" s="78"/>
      <c r="K104" s="78">
        <v>10800</v>
      </c>
      <c r="L104" s="107"/>
      <c r="M104" s="107"/>
      <c r="N104" s="107" t="s">
        <v>76</v>
      </c>
      <c r="O104" s="6"/>
    </row>
    <row r="105" spans="1:15" s="25" customFormat="1" ht="12.75">
      <c r="A105" s="8" t="s">
        <v>337</v>
      </c>
      <c r="B105" s="9"/>
      <c r="C105" s="9" t="s">
        <v>211</v>
      </c>
      <c r="D105" s="393" t="s">
        <v>216</v>
      </c>
      <c r="E105" s="9" t="s">
        <v>108</v>
      </c>
      <c r="F105" s="9" t="s">
        <v>116</v>
      </c>
      <c r="G105" s="9" t="s">
        <v>115</v>
      </c>
      <c r="H105" s="126">
        <f t="shared" si="4"/>
        <v>1200</v>
      </c>
      <c r="I105" s="107" t="s">
        <v>76</v>
      </c>
      <c r="J105" s="78"/>
      <c r="K105" s="78">
        <v>1200</v>
      </c>
      <c r="L105" s="107"/>
      <c r="M105" s="107"/>
      <c r="N105" s="107" t="s">
        <v>76</v>
      </c>
      <c r="O105" s="6"/>
    </row>
    <row r="106" spans="1:15" s="25" customFormat="1" ht="41.25" customHeight="1" hidden="1">
      <c r="A106" s="681" t="s">
        <v>217</v>
      </c>
      <c r="B106" s="683"/>
      <c r="C106" s="27" t="s">
        <v>51</v>
      </c>
      <c r="D106" s="43"/>
      <c r="E106" s="42"/>
      <c r="F106" s="42"/>
      <c r="G106" s="42"/>
      <c r="H106" s="124"/>
      <c r="I106" s="119"/>
      <c r="J106" s="97"/>
      <c r="K106" s="120">
        <f>SUM(K108:K113)</f>
        <v>0</v>
      </c>
      <c r="L106" s="119"/>
      <c r="M106" s="119"/>
      <c r="N106" s="119"/>
      <c r="O106" s="6"/>
    </row>
    <row r="107" spans="1:15" s="25" customFormat="1" ht="12.75" hidden="1">
      <c r="A107" s="61" t="s">
        <v>11</v>
      </c>
      <c r="B107" s="59"/>
      <c r="C107" s="59" t="s">
        <v>51</v>
      </c>
      <c r="D107" s="59" t="s">
        <v>81</v>
      </c>
      <c r="E107" s="59" t="s">
        <v>218</v>
      </c>
      <c r="F107" s="59" t="s">
        <v>121</v>
      </c>
      <c r="G107" s="59" t="s">
        <v>115</v>
      </c>
      <c r="H107" s="127">
        <f aca="true" t="shared" si="5" ref="H107:H113">K107</f>
        <v>0</v>
      </c>
      <c r="I107" s="101" t="s">
        <v>76</v>
      </c>
      <c r="J107" s="102"/>
      <c r="K107" s="104"/>
      <c r="L107" s="102"/>
      <c r="M107" s="100"/>
      <c r="N107" s="101" t="s">
        <v>76</v>
      </c>
      <c r="O107" s="6"/>
    </row>
    <row r="108" spans="1:15" s="25" customFormat="1" ht="12.75" hidden="1">
      <c r="A108" s="684" t="s">
        <v>12</v>
      </c>
      <c r="B108" s="9"/>
      <c r="C108" s="678" t="s">
        <v>51</v>
      </c>
      <c r="D108" s="9" t="s">
        <v>81</v>
      </c>
      <c r="E108" s="678" t="s">
        <v>218</v>
      </c>
      <c r="F108" s="678" t="s">
        <v>116</v>
      </c>
      <c r="G108" s="678" t="s">
        <v>115</v>
      </c>
      <c r="H108" s="126">
        <f t="shared" si="5"/>
        <v>0</v>
      </c>
      <c r="I108" s="107" t="s">
        <v>76</v>
      </c>
      <c r="J108" s="107"/>
      <c r="K108" s="116"/>
      <c r="L108" s="101"/>
      <c r="M108" s="101"/>
      <c r="N108" s="101" t="s">
        <v>76</v>
      </c>
      <c r="O108" s="6"/>
    </row>
    <row r="109" spans="1:15" s="25" customFormat="1" ht="12.75" hidden="1">
      <c r="A109" s="685"/>
      <c r="B109" s="9"/>
      <c r="C109" s="679"/>
      <c r="D109" s="9" t="s">
        <v>219</v>
      </c>
      <c r="E109" s="679"/>
      <c r="F109" s="679"/>
      <c r="G109" s="679"/>
      <c r="H109" s="126">
        <f t="shared" si="5"/>
        <v>0</v>
      </c>
      <c r="I109" s="107" t="s">
        <v>76</v>
      </c>
      <c r="J109" s="107"/>
      <c r="K109" s="116"/>
      <c r="L109" s="101"/>
      <c r="M109" s="101"/>
      <c r="N109" s="101" t="s">
        <v>76</v>
      </c>
      <c r="O109" s="6"/>
    </row>
    <row r="110" spans="1:15" s="25" customFormat="1" ht="12.75" hidden="1">
      <c r="A110" s="686"/>
      <c r="B110" s="9"/>
      <c r="C110" s="680"/>
      <c r="D110" s="9" t="s">
        <v>196</v>
      </c>
      <c r="E110" s="680"/>
      <c r="F110" s="680"/>
      <c r="G110" s="680"/>
      <c r="H110" s="126">
        <f t="shared" si="5"/>
        <v>0</v>
      </c>
      <c r="I110" s="107"/>
      <c r="J110" s="107"/>
      <c r="K110" s="116"/>
      <c r="L110" s="101"/>
      <c r="M110" s="101"/>
      <c r="N110" s="101"/>
      <c r="O110" s="6"/>
    </row>
    <row r="111" spans="1:15" s="25" customFormat="1" ht="25.5" hidden="1">
      <c r="A111" s="22" t="s">
        <v>220</v>
      </c>
      <c r="B111" s="9"/>
      <c r="C111" s="9" t="s">
        <v>51</v>
      </c>
      <c r="D111" s="9" t="s">
        <v>81</v>
      </c>
      <c r="E111" s="9" t="s">
        <v>218</v>
      </c>
      <c r="F111" s="9" t="s">
        <v>118</v>
      </c>
      <c r="G111" s="9" t="s">
        <v>115</v>
      </c>
      <c r="H111" s="126">
        <f>K111</f>
        <v>0</v>
      </c>
      <c r="I111" s="107" t="s">
        <v>76</v>
      </c>
      <c r="J111" s="107"/>
      <c r="K111" s="116"/>
      <c r="L111" s="101"/>
      <c r="M111" s="101"/>
      <c r="N111" s="101" t="s">
        <v>76</v>
      </c>
      <c r="O111" s="6"/>
    </row>
    <row r="112" spans="1:15" s="25" customFormat="1" ht="12.75" hidden="1">
      <c r="A112" s="684" t="s">
        <v>221</v>
      </c>
      <c r="B112" s="9"/>
      <c r="C112" s="678" t="s">
        <v>51</v>
      </c>
      <c r="D112" s="9" t="s">
        <v>81</v>
      </c>
      <c r="E112" s="678" t="s">
        <v>218</v>
      </c>
      <c r="F112" s="678" t="s">
        <v>119</v>
      </c>
      <c r="G112" s="678" t="s">
        <v>115</v>
      </c>
      <c r="H112" s="126">
        <f t="shared" si="5"/>
        <v>0</v>
      </c>
      <c r="I112" s="107" t="s">
        <v>76</v>
      </c>
      <c r="J112" s="107"/>
      <c r="K112" s="116"/>
      <c r="L112" s="101"/>
      <c r="M112" s="101"/>
      <c r="N112" s="101" t="s">
        <v>76</v>
      </c>
      <c r="O112" s="6"/>
    </row>
    <row r="113" spans="1:15" s="25" customFormat="1" ht="12.75" hidden="1">
      <c r="A113" s="686"/>
      <c r="B113" s="9"/>
      <c r="C113" s="680"/>
      <c r="D113" s="9" t="s">
        <v>196</v>
      </c>
      <c r="E113" s="680"/>
      <c r="F113" s="680"/>
      <c r="G113" s="680"/>
      <c r="H113" s="126">
        <f t="shared" si="5"/>
        <v>0</v>
      </c>
      <c r="I113" s="107" t="s">
        <v>76</v>
      </c>
      <c r="J113" s="107"/>
      <c r="K113" s="116"/>
      <c r="L113" s="101"/>
      <c r="M113" s="101"/>
      <c r="N113" s="101" t="s">
        <v>76</v>
      </c>
      <c r="O113" s="6"/>
    </row>
    <row r="114" spans="1:15" s="25" customFormat="1" ht="15" customHeight="1">
      <c r="A114" s="681" t="s">
        <v>210</v>
      </c>
      <c r="B114" s="683"/>
      <c r="C114" s="27" t="s">
        <v>163</v>
      </c>
      <c r="D114" s="44"/>
      <c r="E114" s="3"/>
      <c r="F114" s="3"/>
      <c r="G114" s="3"/>
      <c r="H114" s="131"/>
      <c r="I114" s="117"/>
      <c r="J114" s="110"/>
      <c r="K114" s="120">
        <f>K115+K116</f>
        <v>950000</v>
      </c>
      <c r="L114" s="117"/>
      <c r="M114" s="117"/>
      <c r="N114" s="117"/>
      <c r="O114" s="6"/>
    </row>
    <row r="115" spans="1:15" s="25" customFormat="1" ht="15.75" customHeight="1">
      <c r="A115" s="22" t="s">
        <v>11</v>
      </c>
      <c r="B115" s="40"/>
      <c r="C115" s="41" t="s">
        <v>163</v>
      </c>
      <c r="D115" s="6" t="s">
        <v>162</v>
      </c>
      <c r="E115" s="9" t="s">
        <v>157</v>
      </c>
      <c r="F115" s="46">
        <v>225</v>
      </c>
      <c r="G115" s="9" t="s">
        <v>115</v>
      </c>
      <c r="H115" s="129" t="s">
        <v>76</v>
      </c>
      <c r="I115" s="107" t="s">
        <v>76</v>
      </c>
      <c r="J115" s="78"/>
      <c r="K115" s="116">
        <v>950000</v>
      </c>
      <c r="L115" s="107"/>
      <c r="M115" s="107"/>
      <c r="N115" s="107" t="s">
        <v>76</v>
      </c>
      <c r="O115" s="6"/>
    </row>
    <row r="116" spans="1:15" s="25" customFormat="1" ht="13.5" hidden="1">
      <c r="A116" s="47" t="s">
        <v>14</v>
      </c>
      <c r="B116" s="40"/>
      <c r="C116" s="41" t="s">
        <v>163</v>
      </c>
      <c r="D116" s="6" t="s">
        <v>162</v>
      </c>
      <c r="E116" s="9" t="s">
        <v>157</v>
      </c>
      <c r="F116" s="9" t="s">
        <v>118</v>
      </c>
      <c r="G116" s="9" t="s">
        <v>115</v>
      </c>
      <c r="H116" s="126"/>
      <c r="I116" s="107"/>
      <c r="J116" s="78"/>
      <c r="K116" s="116"/>
      <c r="L116" s="107"/>
      <c r="M116" s="107"/>
      <c r="N116" s="107"/>
      <c r="O116" s="6"/>
    </row>
    <row r="117" spans="1:15" s="25" customFormat="1" ht="15" customHeight="1" hidden="1">
      <c r="A117" s="681" t="s">
        <v>177</v>
      </c>
      <c r="B117" s="683"/>
      <c r="C117" s="27" t="s">
        <v>23</v>
      </c>
      <c r="D117" s="44"/>
      <c r="E117" s="3"/>
      <c r="F117" s="3"/>
      <c r="G117" s="3"/>
      <c r="H117" s="131"/>
      <c r="I117" s="117"/>
      <c r="J117" s="110"/>
      <c r="K117" s="118">
        <f>K118</f>
        <v>0</v>
      </c>
      <c r="L117" s="117"/>
      <c r="M117" s="117"/>
      <c r="N117" s="117"/>
      <c r="O117" s="6"/>
    </row>
    <row r="118" spans="1:15" s="25" customFormat="1" ht="15" customHeight="1" hidden="1">
      <c r="A118" s="22" t="s">
        <v>178</v>
      </c>
      <c r="B118" s="9"/>
      <c r="C118" s="9" t="s">
        <v>23</v>
      </c>
      <c r="D118" s="9" t="s">
        <v>81</v>
      </c>
      <c r="E118" s="9" t="s">
        <v>108</v>
      </c>
      <c r="F118" s="9" t="s">
        <v>116</v>
      </c>
      <c r="G118" s="9" t="s">
        <v>115</v>
      </c>
      <c r="H118" s="126"/>
      <c r="I118" s="107"/>
      <c r="J118" s="78"/>
      <c r="K118" s="116"/>
      <c r="L118" s="107"/>
      <c r="M118" s="107"/>
      <c r="N118" s="107"/>
      <c r="O118" s="6"/>
    </row>
    <row r="119" spans="1:15" s="25" customFormat="1" ht="29.25" customHeight="1" hidden="1">
      <c r="A119" s="681" t="s">
        <v>191</v>
      </c>
      <c r="B119" s="683"/>
      <c r="C119" s="27" t="s">
        <v>192</v>
      </c>
      <c r="D119" s="3"/>
      <c r="E119" s="3"/>
      <c r="F119" s="3"/>
      <c r="G119" s="3"/>
      <c r="H119" s="124">
        <f aca="true" t="shared" si="6" ref="H119:H125">K119</f>
        <v>0</v>
      </c>
      <c r="I119" s="119"/>
      <c r="J119" s="97"/>
      <c r="K119" s="97">
        <f>K120+K121</f>
        <v>0</v>
      </c>
      <c r="L119" s="117"/>
      <c r="M119" s="117"/>
      <c r="N119" s="117"/>
      <c r="O119" s="6"/>
    </row>
    <row r="120" spans="1:15" s="25" customFormat="1" ht="16.5" customHeight="1" hidden="1">
      <c r="A120" s="61" t="s">
        <v>195</v>
      </c>
      <c r="B120" s="67"/>
      <c r="C120" s="59" t="s">
        <v>192</v>
      </c>
      <c r="D120" s="59" t="s">
        <v>193</v>
      </c>
      <c r="E120" s="59" t="s">
        <v>108</v>
      </c>
      <c r="F120" s="59" t="s">
        <v>121</v>
      </c>
      <c r="G120" s="59" t="s">
        <v>194</v>
      </c>
      <c r="H120" s="127">
        <f t="shared" si="6"/>
        <v>0</v>
      </c>
      <c r="I120" s="101" t="s">
        <v>76</v>
      </c>
      <c r="J120" s="100"/>
      <c r="K120" s="104"/>
      <c r="L120" s="101"/>
      <c r="M120" s="101"/>
      <c r="N120" s="101" t="s">
        <v>76</v>
      </c>
      <c r="O120" s="6"/>
    </row>
    <row r="121" spans="1:15" s="25" customFormat="1" ht="16.5" customHeight="1" hidden="1">
      <c r="A121" s="61" t="s">
        <v>195</v>
      </c>
      <c r="B121" s="68"/>
      <c r="C121" s="59" t="s">
        <v>192</v>
      </c>
      <c r="D121" s="59" t="s">
        <v>196</v>
      </c>
      <c r="E121" s="59" t="s">
        <v>108</v>
      </c>
      <c r="F121" s="59" t="s">
        <v>121</v>
      </c>
      <c r="G121" s="59" t="s">
        <v>194</v>
      </c>
      <c r="H121" s="127">
        <f t="shared" si="6"/>
        <v>0</v>
      </c>
      <c r="I121" s="101" t="s">
        <v>76</v>
      </c>
      <c r="J121" s="100"/>
      <c r="K121" s="104"/>
      <c r="L121" s="101"/>
      <c r="M121" s="101"/>
      <c r="N121" s="101" t="s">
        <v>76</v>
      </c>
      <c r="O121" s="6"/>
    </row>
    <row r="122" spans="1:15" s="25" customFormat="1" ht="16.5" customHeight="1">
      <c r="A122" s="39" t="s">
        <v>222</v>
      </c>
      <c r="B122" s="38"/>
      <c r="C122" s="27" t="s">
        <v>203</v>
      </c>
      <c r="D122" s="3"/>
      <c r="E122" s="3"/>
      <c r="F122" s="3"/>
      <c r="G122" s="3"/>
      <c r="H122" s="124">
        <f t="shared" si="6"/>
        <v>10000</v>
      </c>
      <c r="I122" s="117" t="s">
        <v>76</v>
      </c>
      <c r="J122" s="110"/>
      <c r="K122" s="120">
        <f>K123</f>
        <v>10000</v>
      </c>
      <c r="L122" s="117"/>
      <c r="M122" s="117"/>
      <c r="N122" s="117" t="s">
        <v>76</v>
      </c>
      <c r="O122" s="6"/>
    </row>
    <row r="123" spans="1:15" s="25" customFormat="1" ht="24" customHeight="1">
      <c r="A123" s="22" t="s">
        <v>236</v>
      </c>
      <c r="B123" s="40"/>
      <c r="C123" s="9" t="s">
        <v>203</v>
      </c>
      <c r="D123" s="9" t="s">
        <v>81</v>
      </c>
      <c r="E123" s="9" t="s">
        <v>108</v>
      </c>
      <c r="F123" s="9" t="s">
        <v>205</v>
      </c>
      <c r="G123" s="9" t="s">
        <v>123</v>
      </c>
      <c r="H123" s="126">
        <f t="shared" si="6"/>
        <v>10000</v>
      </c>
      <c r="I123" s="107" t="s">
        <v>76</v>
      </c>
      <c r="J123" s="78"/>
      <c r="K123" s="121">
        <v>10000</v>
      </c>
      <c r="L123" s="107"/>
      <c r="M123" s="107"/>
      <c r="N123" s="107" t="s">
        <v>76</v>
      </c>
      <c r="O123" s="6"/>
    </row>
    <row r="124" spans="1:15" s="25" customFormat="1" ht="12.75" hidden="1">
      <c r="A124" s="75" t="s">
        <v>226</v>
      </c>
      <c r="B124" s="58"/>
      <c r="C124" s="42" t="s">
        <v>23</v>
      </c>
      <c r="D124" s="42"/>
      <c r="E124" s="42"/>
      <c r="F124" s="42"/>
      <c r="G124" s="42"/>
      <c r="H124" s="125">
        <f t="shared" si="6"/>
        <v>0</v>
      </c>
      <c r="I124" s="119"/>
      <c r="J124" s="98"/>
      <c r="K124" s="97">
        <f>K125</f>
        <v>0</v>
      </c>
      <c r="L124" s="119"/>
      <c r="M124" s="119"/>
      <c r="N124" s="119"/>
      <c r="O124" s="6"/>
    </row>
    <row r="125" spans="1:15" s="25" customFormat="1" ht="12.75" hidden="1">
      <c r="A125" s="76" t="s">
        <v>227</v>
      </c>
      <c r="B125" s="57"/>
      <c r="C125" s="9" t="s">
        <v>23</v>
      </c>
      <c r="D125" s="9" t="s">
        <v>228</v>
      </c>
      <c r="E125" s="9" t="s">
        <v>157</v>
      </c>
      <c r="F125" s="9" t="s">
        <v>116</v>
      </c>
      <c r="G125" s="9" t="s">
        <v>115</v>
      </c>
      <c r="H125" s="129">
        <f t="shared" si="6"/>
        <v>0</v>
      </c>
      <c r="I125" s="107"/>
      <c r="J125" s="26"/>
      <c r="K125" s="78"/>
      <c r="L125" s="107"/>
      <c r="M125" s="107"/>
      <c r="N125" s="107"/>
      <c r="O125" s="6"/>
    </row>
    <row r="126" spans="1:15" s="25" customFormat="1" ht="12.75" hidden="1">
      <c r="A126" s="77" t="s">
        <v>231</v>
      </c>
      <c r="B126" s="58"/>
      <c r="C126" s="87" t="s">
        <v>230</v>
      </c>
      <c r="D126" s="53"/>
      <c r="E126" s="53"/>
      <c r="F126" s="53"/>
      <c r="G126" s="53"/>
      <c r="H126" s="124">
        <f>K126</f>
        <v>0</v>
      </c>
      <c r="I126" s="119"/>
      <c r="J126" s="97"/>
      <c r="K126" s="98">
        <f>K127</f>
        <v>0</v>
      </c>
      <c r="L126" s="119"/>
      <c r="M126" s="119"/>
      <c r="N126" s="119"/>
      <c r="O126" s="6"/>
    </row>
    <row r="127" spans="1:15" s="25" customFormat="1" ht="12.75" hidden="1">
      <c r="A127" s="22" t="s">
        <v>227</v>
      </c>
      <c r="B127" s="57"/>
      <c r="C127" s="9" t="s">
        <v>230</v>
      </c>
      <c r="D127" s="9" t="s">
        <v>81</v>
      </c>
      <c r="E127" s="9" t="s">
        <v>232</v>
      </c>
      <c r="F127" s="9" t="s">
        <v>116</v>
      </c>
      <c r="G127" s="9" t="s">
        <v>115</v>
      </c>
      <c r="H127" s="126">
        <f>K127</f>
        <v>0</v>
      </c>
      <c r="I127" s="107"/>
      <c r="J127" s="78"/>
      <c r="K127" s="26"/>
      <c r="L127" s="107"/>
      <c r="M127" s="107"/>
      <c r="N127" s="107"/>
      <c r="O127" s="6"/>
    </row>
    <row r="128" spans="1:15" s="25" customFormat="1" ht="29.25" customHeight="1">
      <c r="A128" s="681" t="s">
        <v>224</v>
      </c>
      <c r="B128" s="682"/>
      <c r="C128" s="27" t="s">
        <v>80</v>
      </c>
      <c r="D128" s="3"/>
      <c r="E128" s="3"/>
      <c r="F128" s="3"/>
      <c r="G128" s="3"/>
      <c r="H128" s="124">
        <f>N128</f>
        <v>65000</v>
      </c>
      <c r="I128" s="119"/>
      <c r="J128" s="119"/>
      <c r="K128" s="119"/>
      <c r="L128" s="119"/>
      <c r="M128" s="119"/>
      <c r="N128" s="97">
        <f>SUM(N129:N136)</f>
        <v>65000</v>
      </c>
      <c r="O128" s="6"/>
    </row>
    <row r="129" spans="1:15" s="25" customFormat="1" ht="13.5" customHeight="1" hidden="1">
      <c r="A129" s="45" t="s">
        <v>8</v>
      </c>
      <c r="B129" s="8"/>
      <c r="C129" s="9" t="s">
        <v>80</v>
      </c>
      <c r="D129" s="9" t="s">
        <v>81</v>
      </c>
      <c r="E129" s="9" t="s">
        <v>108</v>
      </c>
      <c r="F129" s="9" t="s">
        <v>128</v>
      </c>
      <c r="G129" s="9" t="s">
        <v>115</v>
      </c>
      <c r="H129" s="126">
        <f aca="true" t="shared" si="7" ref="H129:H135">N129</f>
        <v>0</v>
      </c>
      <c r="I129" s="107" t="s">
        <v>76</v>
      </c>
      <c r="J129" s="107" t="s">
        <v>76</v>
      </c>
      <c r="K129" s="107" t="s">
        <v>76</v>
      </c>
      <c r="L129" s="107" t="s">
        <v>76</v>
      </c>
      <c r="M129" s="107"/>
      <c r="N129" s="122"/>
      <c r="O129" s="6"/>
    </row>
    <row r="130" spans="1:15" s="25" customFormat="1" ht="13.5" customHeight="1" hidden="1">
      <c r="A130" s="22" t="s">
        <v>11</v>
      </c>
      <c r="B130" s="9"/>
      <c r="C130" s="9" t="s">
        <v>80</v>
      </c>
      <c r="D130" s="9" t="s">
        <v>81</v>
      </c>
      <c r="E130" s="9" t="s">
        <v>108</v>
      </c>
      <c r="F130" s="9" t="s">
        <v>121</v>
      </c>
      <c r="G130" s="9" t="s">
        <v>115</v>
      </c>
      <c r="H130" s="126">
        <f t="shared" si="7"/>
        <v>0</v>
      </c>
      <c r="I130" s="107" t="s">
        <v>76</v>
      </c>
      <c r="J130" s="107" t="s">
        <v>76</v>
      </c>
      <c r="K130" s="107" t="s">
        <v>76</v>
      </c>
      <c r="L130" s="107" t="s">
        <v>76</v>
      </c>
      <c r="M130" s="107"/>
      <c r="N130" s="122"/>
      <c r="O130" s="6"/>
    </row>
    <row r="131" spans="1:15" s="25" customFormat="1" ht="13.5" customHeight="1" hidden="1">
      <c r="A131" s="22" t="s">
        <v>11</v>
      </c>
      <c r="B131" s="9"/>
      <c r="C131" s="9" t="s">
        <v>80</v>
      </c>
      <c r="D131" s="9" t="s">
        <v>81</v>
      </c>
      <c r="E131" s="9" t="s">
        <v>218</v>
      </c>
      <c r="F131" s="9" t="s">
        <v>121</v>
      </c>
      <c r="G131" s="9" t="s">
        <v>115</v>
      </c>
      <c r="H131" s="126">
        <f>N131</f>
        <v>0</v>
      </c>
      <c r="I131" s="107" t="s">
        <v>76</v>
      </c>
      <c r="J131" s="107" t="s">
        <v>76</v>
      </c>
      <c r="K131" s="107" t="s">
        <v>76</v>
      </c>
      <c r="L131" s="107" t="s">
        <v>76</v>
      </c>
      <c r="M131" s="107" t="s">
        <v>76</v>
      </c>
      <c r="N131" s="78"/>
      <c r="O131" s="6"/>
    </row>
    <row r="132" spans="1:15" s="25" customFormat="1" ht="13.5" customHeight="1" hidden="1">
      <c r="A132" s="22" t="s">
        <v>12</v>
      </c>
      <c r="B132" s="9"/>
      <c r="C132" s="9" t="s">
        <v>80</v>
      </c>
      <c r="D132" s="9" t="s">
        <v>81</v>
      </c>
      <c r="E132" s="9" t="s">
        <v>108</v>
      </c>
      <c r="F132" s="9" t="s">
        <v>116</v>
      </c>
      <c r="G132" s="9" t="s">
        <v>115</v>
      </c>
      <c r="H132" s="126">
        <f t="shared" si="7"/>
        <v>0</v>
      </c>
      <c r="I132" s="107" t="s">
        <v>76</v>
      </c>
      <c r="J132" s="107"/>
      <c r="K132" s="107" t="s">
        <v>76</v>
      </c>
      <c r="L132" s="107" t="s">
        <v>76</v>
      </c>
      <c r="M132" s="107"/>
      <c r="N132" s="139"/>
      <c r="O132" s="6"/>
    </row>
    <row r="133" spans="1:15" s="25" customFormat="1" ht="13.5" customHeight="1">
      <c r="A133" s="22" t="s">
        <v>12</v>
      </c>
      <c r="B133" s="9"/>
      <c r="C133" s="9" t="s">
        <v>80</v>
      </c>
      <c r="D133" s="9" t="s">
        <v>81</v>
      </c>
      <c r="E133" s="9" t="s">
        <v>108</v>
      </c>
      <c r="F133" s="9" t="s">
        <v>116</v>
      </c>
      <c r="G133" s="9" t="s">
        <v>115</v>
      </c>
      <c r="H133" s="126">
        <f>N133</f>
        <v>30000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 t="s">
        <v>76</v>
      </c>
      <c r="N133" s="78">
        <v>30000</v>
      </c>
      <c r="O133" s="6"/>
    </row>
    <row r="134" spans="1:15" s="25" customFormat="1" ht="13.5" customHeight="1">
      <c r="A134" s="22" t="s">
        <v>14</v>
      </c>
      <c r="B134" s="9"/>
      <c r="C134" s="9" t="s">
        <v>80</v>
      </c>
      <c r="D134" s="9" t="s">
        <v>81</v>
      </c>
      <c r="E134" s="398" t="s">
        <v>108</v>
      </c>
      <c r="F134" s="398" t="s">
        <v>118</v>
      </c>
      <c r="G134" s="398" t="s">
        <v>115</v>
      </c>
      <c r="H134" s="399">
        <f t="shared" si="7"/>
        <v>35000</v>
      </c>
      <c r="I134" s="400" t="s">
        <v>76</v>
      </c>
      <c r="J134" s="400" t="s">
        <v>76</v>
      </c>
      <c r="K134" s="400" t="s">
        <v>76</v>
      </c>
      <c r="L134" s="400" t="s">
        <v>76</v>
      </c>
      <c r="M134" s="400"/>
      <c r="N134" s="401">
        <v>35000</v>
      </c>
      <c r="O134" s="6"/>
    </row>
    <row r="135" spans="1:15" s="25" customFormat="1" ht="13.5" customHeight="1" hidden="1">
      <c r="A135" s="22" t="s">
        <v>188</v>
      </c>
      <c r="B135" s="9"/>
      <c r="C135" s="9" t="s">
        <v>80</v>
      </c>
      <c r="D135" s="9" t="s">
        <v>81</v>
      </c>
      <c r="E135" s="9" t="s">
        <v>108</v>
      </c>
      <c r="F135" s="9" t="s">
        <v>119</v>
      </c>
      <c r="G135" s="9" t="s">
        <v>115</v>
      </c>
      <c r="H135" s="126">
        <f t="shared" si="7"/>
        <v>0</v>
      </c>
      <c r="I135" s="107" t="s">
        <v>76</v>
      </c>
      <c r="J135" s="107"/>
      <c r="K135" s="107" t="s">
        <v>76</v>
      </c>
      <c r="L135" s="107" t="s">
        <v>76</v>
      </c>
      <c r="M135" s="107"/>
      <c r="N135" s="99"/>
      <c r="O135" s="6"/>
    </row>
    <row r="136" spans="1:15" s="25" customFormat="1" ht="13.5" customHeight="1" hidden="1">
      <c r="A136" s="66" t="s">
        <v>221</v>
      </c>
      <c r="B136" s="66"/>
      <c r="C136" s="59" t="s">
        <v>80</v>
      </c>
      <c r="D136" s="59" t="s">
        <v>81</v>
      </c>
      <c r="E136" s="59" t="s">
        <v>218</v>
      </c>
      <c r="F136" s="59" t="s">
        <v>119</v>
      </c>
      <c r="G136" s="59" t="s">
        <v>115</v>
      </c>
      <c r="H136" s="127">
        <f>N136</f>
        <v>0</v>
      </c>
      <c r="I136" s="101" t="s">
        <v>76</v>
      </c>
      <c r="J136" s="123"/>
      <c r="K136" s="107" t="s">
        <v>76</v>
      </c>
      <c r="L136" s="123"/>
      <c r="M136" s="123"/>
      <c r="N136" s="78"/>
      <c r="O136" s="6"/>
    </row>
    <row r="137" spans="1:15" s="25" customFormat="1" ht="27">
      <c r="A137" s="96" t="s">
        <v>129</v>
      </c>
      <c r="B137" s="32" t="s">
        <v>130</v>
      </c>
      <c r="C137" s="33" t="s">
        <v>76</v>
      </c>
      <c r="D137" s="33" t="s">
        <v>76</v>
      </c>
      <c r="E137" s="33" t="s">
        <v>76</v>
      </c>
      <c r="F137" s="33" t="s">
        <v>76</v>
      </c>
      <c r="G137" s="33" t="s">
        <v>76</v>
      </c>
      <c r="H137" s="130">
        <f>I137+N137+K137</f>
        <v>16689700</v>
      </c>
      <c r="I137" s="130">
        <f>I51+I54+I81+I82+I52+I66</f>
        <v>16679700</v>
      </c>
      <c r="J137" s="130"/>
      <c r="K137" s="130">
        <f>K123</f>
        <v>10000</v>
      </c>
      <c r="L137" s="134" t="s">
        <v>76</v>
      </c>
      <c r="M137" s="134" t="s">
        <v>76</v>
      </c>
      <c r="N137" s="130"/>
      <c r="O137" s="6" t="s">
        <v>76</v>
      </c>
    </row>
    <row r="138" spans="1:15" s="25" customFormat="1" ht="27">
      <c r="A138" s="96" t="s">
        <v>131</v>
      </c>
      <c r="B138" s="32" t="s">
        <v>132</v>
      </c>
      <c r="C138" s="33" t="s">
        <v>76</v>
      </c>
      <c r="D138" s="33" t="s">
        <v>76</v>
      </c>
      <c r="E138" s="33" t="s">
        <v>76</v>
      </c>
      <c r="F138" s="33" t="s">
        <v>76</v>
      </c>
      <c r="G138" s="33" t="s">
        <v>76</v>
      </c>
      <c r="H138" s="130">
        <f>H140+H139</f>
        <v>6199479</v>
      </c>
      <c r="I138" s="130">
        <f>I140+I139</f>
        <v>4367139</v>
      </c>
      <c r="J138" s="130">
        <f>J140+J139</f>
        <v>0</v>
      </c>
      <c r="K138" s="130">
        <f>K140+K139</f>
        <v>1767340</v>
      </c>
      <c r="L138" s="134"/>
      <c r="M138" s="134"/>
      <c r="N138" s="130">
        <f>N140+N139</f>
        <v>65000</v>
      </c>
      <c r="O138" s="6"/>
    </row>
    <row r="139" spans="1:15" s="25" customFormat="1" ht="24" customHeight="1">
      <c r="A139" s="96" t="s">
        <v>133</v>
      </c>
      <c r="B139" s="32" t="s">
        <v>134</v>
      </c>
      <c r="C139" s="33" t="s">
        <v>76</v>
      </c>
      <c r="D139" s="33" t="s">
        <v>76</v>
      </c>
      <c r="E139" s="33" t="s">
        <v>76</v>
      </c>
      <c r="F139" s="33" t="s">
        <v>76</v>
      </c>
      <c r="G139" s="33" t="s">
        <v>76</v>
      </c>
      <c r="H139" s="130">
        <f>I139+N139+K139</f>
        <v>0</v>
      </c>
      <c r="I139" s="130"/>
      <c r="J139" s="130"/>
      <c r="K139" s="130">
        <v>0</v>
      </c>
      <c r="L139" s="134"/>
      <c r="M139" s="134"/>
      <c r="N139" s="130">
        <v>0</v>
      </c>
      <c r="O139" s="6"/>
    </row>
    <row r="140" spans="1:15" s="25" customFormat="1" ht="12.75" customHeight="1">
      <c r="A140" s="96" t="s">
        <v>135</v>
      </c>
      <c r="B140" s="32" t="s">
        <v>136</v>
      </c>
      <c r="C140" s="33" t="s">
        <v>76</v>
      </c>
      <c r="D140" s="33" t="s">
        <v>76</v>
      </c>
      <c r="E140" s="33" t="s">
        <v>76</v>
      </c>
      <c r="F140" s="33" t="s">
        <v>76</v>
      </c>
      <c r="G140" s="33" t="s">
        <v>76</v>
      </c>
      <c r="H140" s="130">
        <f>I140+N140+K140</f>
        <v>6199479</v>
      </c>
      <c r="I140" s="130">
        <f>I56+I61+I62+I63+I64+I67+I72+I73+I75+I77+I78+I79+I80+I91+I86+I87+I68+I69+I70+I71+I88+I76</f>
        <v>4367139</v>
      </c>
      <c r="J140" s="130"/>
      <c r="K140" s="130">
        <f>K95+K99+K120+K121+K108+K109+K110+K113+K115+K102+K103+K104+K105+K101+K125+K127+K112</f>
        <v>1767340</v>
      </c>
      <c r="L140" s="134" t="s">
        <v>76</v>
      </c>
      <c r="M140" s="134" t="s">
        <v>76</v>
      </c>
      <c r="N140" s="130">
        <f>N129+N130+N132+N134+N135+N131+N133+N136</f>
        <v>65000</v>
      </c>
      <c r="O140" s="6" t="s">
        <v>76</v>
      </c>
    </row>
    <row r="141" spans="1:15" s="25" customFormat="1" ht="13.5" hidden="1">
      <c r="A141" s="8" t="s">
        <v>137</v>
      </c>
      <c r="B141" s="9" t="s">
        <v>138</v>
      </c>
      <c r="C141" s="34" t="s">
        <v>76</v>
      </c>
      <c r="D141" s="34" t="s">
        <v>76</v>
      </c>
      <c r="E141" s="34" t="s">
        <v>76</v>
      </c>
      <c r="F141" s="34" t="s">
        <v>76</v>
      </c>
      <c r="G141" s="34" t="s">
        <v>76</v>
      </c>
      <c r="H141" s="126">
        <f>I141+N141</f>
        <v>0</v>
      </c>
      <c r="I141" s="126">
        <v>0</v>
      </c>
      <c r="J141" s="126"/>
      <c r="K141" s="126"/>
      <c r="L141" s="135" t="s">
        <v>76</v>
      </c>
      <c r="M141" s="135" t="s">
        <v>76</v>
      </c>
      <c r="N141" s="126">
        <v>0</v>
      </c>
      <c r="O141" s="6" t="s">
        <v>76</v>
      </c>
    </row>
    <row r="142" spans="1:15" s="25" customFormat="1" ht="13.5" hidden="1">
      <c r="A142" s="20" t="s">
        <v>139</v>
      </c>
      <c r="B142" s="9" t="s">
        <v>118</v>
      </c>
      <c r="C142" s="34" t="s">
        <v>76</v>
      </c>
      <c r="D142" s="34" t="s">
        <v>76</v>
      </c>
      <c r="E142" s="34" t="s">
        <v>76</v>
      </c>
      <c r="F142" s="34" t="s">
        <v>76</v>
      </c>
      <c r="G142" s="34" t="s">
        <v>76</v>
      </c>
      <c r="H142" s="126">
        <v>0</v>
      </c>
      <c r="I142" s="126">
        <v>0</v>
      </c>
      <c r="J142" s="126"/>
      <c r="K142" s="126"/>
      <c r="L142" s="135" t="s">
        <v>76</v>
      </c>
      <c r="M142" s="135" t="s">
        <v>76</v>
      </c>
      <c r="N142" s="126">
        <v>0</v>
      </c>
      <c r="O142" s="6" t="s">
        <v>76</v>
      </c>
    </row>
    <row r="143" spans="1:15" s="25" customFormat="1" ht="13.5" hidden="1">
      <c r="A143" s="20" t="s">
        <v>140</v>
      </c>
      <c r="B143" s="9" t="s">
        <v>141</v>
      </c>
      <c r="C143" s="34" t="s">
        <v>76</v>
      </c>
      <c r="D143" s="34" t="s">
        <v>76</v>
      </c>
      <c r="E143" s="34" t="s">
        <v>76</v>
      </c>
      <c r="F143" s="34" t="s">
        <v>76</v>
      </c>
      <c r="G143" s="34" t="s">
        <v>76</v>
      </c>
      <c r="H143" s="126">
        <v>0</v>
      </c>
      <c r="I143" s="126">
        <v>0</v>
      </c>
      <c r="J143" s="126"/>
      <c r="K143" s="126"/>
      <c r="L143" s="135" t="s">
        <v>76</v>
      </c>
      <c r="M143" s="135" t="s">
        <v>76</v>
      </c>
      <c r="N143" s="126">
        <v>0</v>
      </c>
      <c r="O143" s="6" t="s">
        <v>76</v>
      </c>
    </row>
    <row r="144" spans="1:15" s="25" customFormat="1" ht="13.5" hidden="1">
      <c r="A144" s="20" t="s">
        <v>142</v>
      </c>
      <c r="B144" s="9" t="s">
        <v>143</v>
      </c>
      <c r="C144" s="34" t="s">
        <v>76</v>
      </c>
      <c r="D144" s="34" t="s">
        <v>76</v>
      </c>
      <c r="E144" s="34" t="s">
        <v>76</v>
      </c>
      <c r="F144" s="34" t="s">
        <v>76</v>
      </c>
      <c r="G144" s="34" t="s">
        <v>76</v>
      </c>
      <c r="H144" s="126">
        <v>0</v>
      </c>
      <c r="I144" s="126">
        <v>0</v>
      </c>
      <c r="J144" s="126"/>
      <c r="K144" s="126"/>
      <c r="L144" s="135" t="s">
        <v>76</v>
      </c>
      <c r="M144" s="135" t="s">
        <v>76</v>
      </c>
      <c r="N144" s="126">
        <v>0</v>
      </c>
      <c r="O144" s="6" t="s">
        <v>76</v>
      </c>
    </row>
    <row r="145" spans="1:15" s="25" customFormat="1" ht="13.5" hidden="1">
      <c r="A145" s="20" t="s">
        <v>144</v>
      </c>
      <c r="B145" s="9" t="s">
        <v>145</v>
      </c>
      <c r="C145" s="34" t="s">
        <v>76</v>
      </c>
      <c r="D145" s="34" t="s">
        <v>76</v>
      </c>
      <c r="E145" s="34" t="s">
        <v>76</v>
      </c>
      <c r="F145" s="34" t="s">
        <v>76</v>
      </c>
      <c r="G145" s="34" t="s">
        <v>76</v>
      </c>
      <c r="H145" s="126">
        <v>0</v>
      </c>
      <c r="I145" s="126">
        <v>0</v>
      </c>
      <c r="J145" s="126"/>
      <c r="K145" s="126"/>
      <c r="L145" s="135" t="s">
        <v>76</v>
      </c>
      <c r="M145" s="135" t="s">
        <v>76</v>
      </c>
      <c r="N145" s="126">
        <v>0</v>
      </c>
      <c r="O145" s="6" t="s">
        <v>76</v>
      </c>
    </row>
    <row r="146" spans="1:15" s="25" customFormat="1" ht="13.5" hidden="1">
      <c r="A146" s="20" t="s">
        <v>146</v>
      </c>
      <c r="B146" s="9" t="s">
        <v>147</v>
      </c>
      <c r="C146" s="34" t="s">
        <v>76</v>
      </c>
      <c r="D146" s="34" t="s">
        <v>76</v>
      </c>
      <c r="E146" s="34" t="s">
        <v>76</v>
      </c>
      <c r="F146" s="34" t="s">
        <v>76</v>
      </c>
      <c r="G146" s="34" t="s">
        <v>76</v>
      </c>
      <c r="H146" s="126">
        <v>0</v>
      </c>
      <c r="I146" s="126">
        <v>0</v>
      </c>
      <c r="J146" s="126"/>
      <c r="K146" s="126"/>
      <c r="L146" s="135" t="s">
        <v>76</v>
      </c>
      <c r="M146" s="135" t="s">
        <v>76</v>
      </c>
      <c r="N146" s="126">
        <v>0</v>
      </c>
      <c r="O146" s="6" t="s">
        <v>76</v>
      </c>
    </row>
    <row r="147" spans="1:15" s="25" customFormat="1" ht="13.5">
      <c r="A147" s="48" t="s">
        <v>137</v>
      </c>
      <c r="B147" s="49" t="s">
        <v>138</v>
      </c>
      <c r="C147" s="50" t="s">
        <v>173</v>
      </c>
      <c r="D147" s="49" t="s">
        <v>81</v>
      </c>
      <c r="E147" s="50" t="s">
        <v>174</v>
      </c>
      <c r="F147" s="50" t="s">
        <v>174</v>
      </c>
      <c r="G147" s="50" t="s">
        <v>175</v>
      </c>
      <c r="H147" s="132">
        <v>28653.9</v>
      </c>
      <c r="I147" s="136"/>
      <c r="J147" s="136"/>
      <c r="K147" s="136"/>
      <c r="L147" s="137"/>
      <c r="M147" s="137"/>
      <c r="N147" s="136"/>
      <c r="O147" s="6"/>
    </row>
    <row r="148" spans="1:15" s="25" customFormat="1" ht="13.5">
      <c r="A148" s="51" t="s">
        <v>142</v>
      </c>
      <c r="B148" s="49" t="s">
        <v>143</v>
      </c>
      <c r="C148" s="50" t="s">
        <v>173</v>
      </c>
      <c r="D148" s="49" t="s">
        <v>81</v>
      </c>
      <c r="E148" s="50" t="s">
        <v>174</v>
      </c>
      <c r="F148" s="50" t="s">
        <v>174</v>
      </c>
      <c r="G148" s="50" t="s">
        <v>176</v>
      </c>
      <c r="H148" s="132">
        <v>28653.9</v>
      </c>
      <c r="I148" s="136"/>
      <c r="J148" s="136"/>
      <c r="K148" s="136"/>
      <c r="L148" s="137"/>
      <c r="M148" s="137"/>
      <c r="N148" s="136"/>
      <c r="O148" s="6"/>
    </row>
    <row r="149" spans="1:15" s="25" customFormat="1" ht="13.5">
      <c r="A149" s="35" t="s">
        <v>148</v>
      </c>
      <c r="B149" s="36" t="s">
        <v>149</v>
      </c>
      <c r="C149" s="37" t="s">
        <v>76</v>
      </c>
      <c r="D149" s="37" t="s">
        <v>76</v>
      </c>
      <c r="E149" s="37" t="s">
        <v>76</v>
      </c>
      <c r="F149" s="37" t="s">
        <v>76</v>
      </c>
      <c r="G149" s="37" t="s">
        <v>76</v>
      </c>
      <c r="H149" s="133">
        <f>I149+K149+N149</f>
        <v>0</v>
      </c>
      <c r="I149" s="133">
        <v>0</v>
      </c>
      <c r="J149" s="133"/>
      <c r="K149" s="133"/>
      <c r="L149" s="138" t="s">
        <v>76</v>
      </c>
      <c r="M149" s="138" t="s">
        <v>76</v>
      </c>
      <c r="N149" s="133"/>
      <c r="O149" s="6" t="s">
        <v>76</v>
      </c>
    </row>
    <row r="150" spans="1:15" s="25" customFormat="1" ht="13.5">
      <c r="A150" s="20" t="s">
        <v>150</v>
      </c>
      <c r="B150" s="9" t="s">
        <v>151</v>
      </c>
      <c r="C150" s="34" t="s">
        <v>76</v>
      </c>
      <c r="D150" s="34" t="s">
        <v>76</v>
      </c>
      <c r="E150" s="34" t="s">
        <v>76</v>
      </c>
      <c r="F150" s="34" t="s">
        <v>76</v>
      </c>
      <c r="G150" s="34" t="s">
        <v>76</v>
      </c>
      <c r="H150" s="126">
        <v>0</v>
      </c>
      <c r="I150" s="126">
        <v>0</v>
      </c>
      <c r="J150" s="126"/>
      <c r="K150" s="126"/>
      <c r="L150" s="135" t="s">
        <v>76</v>
      </c>
      <c r="M150" s="135" t="s">
        <v>76</v>
      </c>
      <c r="N150" s="126">
        <v>0</v>
      </c>
      <c r="O150" s="6" t="s">
        <v>76</v>
      </c>
    </row>
    <row r="152" ht="12.75">
      <c r="A152" s="88" t="s">
        <v>271</v>
      </c>
    </row>
    <row r="153" ht="12.75">
      <c r="A153" s="88"/>
    </row>
    <row r="154" ht="19.5" customHeight="1">
      <c r="A154" s="88" t="s">
        <v>17</v>
      </c>
    </row>
    <row r="155" ht="12.75">
      <c r="A155" s="88" t="s">
        <v>272</v>
      </c>
    </row>
    <row r="156" ht="12.75">
      <c r="A156" s="88"/>
    </row>
    <row r="157" ht="13.5" customHeight="1">
      <c r="A157" s="89"/>
    </row>
    <row r="158" ht="13.5" customHeight="1">
      <c r="A158" s="89"/>
    </row>
    <row r="159" ht="12.75" customHeight="1">
      <c r="A159" s="89"/>
    </row>
    <row r="160" ht="12.75" customHeight="1">
      <c r="A160" s="89"/>
    </row>
    <row r="161" ht="12.75" customHeight="1">
      <c r="A161" s="89"/>
    </row>
    <row r="162" ht="12.75" customHeight="1">
      <c r="A162" s="89"/>
    </row>
    <row r="163" ht="12.75" customHeight="1">
      <c r="A163" s="89"/>
    </row>
    <row r="164" ht="12.75" customHeight="1">
      <c r="A164" s="89"/>
    </row>
    <row r="165" ht="12.75" customHeight="1">
      <c r="A165" s="89"/>
    </row>
  </sheetData>
  <sheetProtection/>
  <mergeCells count="80">
    <mergeCell ref="A128:B128"/>
    <mergeCell ref="A100:B100"/>
    <mergeCell ref="A106:B106"/>
    <mergeCell ref="A108:A110"/>
    <mergeCell ref="A114:B114"/>
    <mergeCell ref="A117:B117"/>
    <mergeCell ref="A119:B119"/>
    <mergeCell ref="G108:G110"/>
    <mergeCell ref="A112:A113"/>
    <mergeCell ref="C112:C113"/>
    <mergeCell ref="E112:E113"/>
    <mergeCell ref="F112:F113"/>
    <mergeCell ref="G112:G113"/>
    <mergeCell ref="E108:E110"/>
    <mergeCell ref="C108:C110"/>
    <mergeCell ref="F108:F110"/>
    <mergeCell ref="G77:G78"/>
    <mergeCell ref="A79:A80"/>
    <mergeCell ref="C79:C80"/>
    <mergeCell ref="E79:E80"/>
    <mergeCell ref="F79:F80"/>
    <mergeCell ref="G79:G80"/>
    <mergeCell ref="F77:F78"/>
    <mergeCell ref="G63:G64"/>
    <mergeCell ref="A96:B96"/>
    <mergeCell ref="A63:A64"/>
    <mergeCell ref="C63:C64"/>
    <mergeCell ref="E63:E64"/>
    <mergeCell ref="A92:B92"/>
    <mergeCell ref="A74:B74"/>
    <mergeCell ref="A77:A78"/>
    <mergeCell ref="C77:C78"/>
    <mergeCell ref="E77:E78"/>
    <mergeCell ref="A72:A73"/>
    <mergeCell ref="C72:C73"/>
    <mergeCell ref="E72:E73"/>
    <mergeCell ref="F72:F73"/>
    <mergeCell ref="A56:A61"/>
    <mergeCell ref="C56:C61"/>
    <mergeCell ref="F56:F61"/>
    <mergeCell ref="E67:E68"/>
    <mergeCell ref="G72:G73"/>
    <mergeCell ref="F63:F64"/>
    <mergeCell ref="A29:A34"/>
    <mergeCell ref="F30:F34"/>
    <mergeCell ref="A35:A37"/>
    <mergeCell ref="C35:C37"/>
    <mergeCell ref="F35:F37"/>
    <mergeCell ref="A40:A41"/>
    <mergeCell ref="C40:C41"/>
    <mergeCell ref="F40:F41"/>
    <mergeCell ref="A50:B50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H4:O4"/>
    <mergeCell ref="H5:H6"/>
    <mergeCell ref="I5:O5"/>
    <mergeCell ref="N6:O6"/>
    <mergeCell ref="F18:F22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PageLayoutView="0" workbookViewId="0" topLeftCell="A98">
      <selection activeCell="F141" sqref="F141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17.75390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358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23283303.7</v>
      </c>
      <c r="I9" s="124">
        <f>I15</f>
        <v>21046839</v>
      </c>
      <c r="J9" s="124"/>
      <c r="K9" s="124">
        <f>K23</f>
        <v>2136964.7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41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21046839</v>
      </c>
      <c r="I15" s="78">
        <f>I16+I18+I19+I17+I22</f>
        <v>21046839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126">
        <f t="shared" si="0"/>
        <v>16689500</v>
      </c>
      <c r="I17" s="359">
        <v>16689500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2136964.7</v>
      </c>
      <c r="I23" s="102" t="s">
        <v>76</v>
      </c>
      <c r="J23" s="100"/>
      <c r="K23" s="100">
        <f>SUM(K24:K43)</f>
        <v>2136964.7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308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>
      <c r="A30" s="700"/>
      <c r="B30" s="62"/>
      <c r="C30" s="63" t="s">
        <v>50</v>
      </c>
      <c r="D30" s="393" t="s">
        <v>332</v>
      </c>
      <c r="E30" s="20"/>
      <c r="F30" s="693" t="s">
        <v>284</v>
      </c>
      <c r="G30" s="9"/>
      <c r="H30" s="25"/>
      <c r="I30" s="107" t="s">
        <v>76</v>
      </c>
      <c r="J30" s="108"/>
      <c r="K30" s="109">
        <v>43200</v>
      </c>
      <c r="L30" s="108"/>
      <c r="M30" s="108"/>
      <c r="N30" s="107" t="s">
        <v>76</v>
      </c>
      <c r="O30" s="7"/>
    </row>
    <row r="31" spans="1:15" ht="12.75" customHeight="1">
      <c r="A31" s="700"/>
      <c r="B31" s="62"/>
      <c r="C31" s="63" t="s">
        <v>50</v>
      </c>
      <c r="D31" s="393" t="s">
        <v>214</v>
      </c>
      <c r="E31" s="9"/>
      <c r="F31" s="697"/>
      <c r="G31" s="9"/>
      <c r="H31" s="126">
        <f>K31</f>
        <v>4800</v>
      </c>
      <c r="I31" s="107" t="s">
        <v>76</v>
      </c>
      <c r="J31" s="78"/>
      <c r="K31" s="78">
        <v>4800</v>
      </c>
      <c r="L31" s="26"/>
      <c r="M31" s="26"/>
      <c r="N31" s="107" t="s">
        <v>76</v>
      </c>
      <c r="O31" s="7"/>
    </row>
    <row r="32" spans="1:15" ht="12.75" customHeight="1">
      <c r="A32" s="700"/>
      <c r="B32" s="62"/>
      <c r="C32" s="63" t="s">
        <v>50</v>
      </c>
      <c r="D32" s="393" t="s">
        <v>333</v>
      </c>
      <c r="E32" s="9"/>
      <c r="F32" s="697"/>
      <c r="G32" s="9"/>
      <c r="H32" s="126">
        <f aca="true" t="shared" si="1" ref="H32:H43">K32</f>
        <v>10800</v>
      </c>
      <c r="I32" s="107" t="s">
        <v>76</v>
      </c>
      <c r="J32" s="78"/>
      <c r="K32" s="78">
        <v>10800</v>
      </c>
      <c r="L32" s="26"/>
      <c r="M32" s="26"/>
      <c r="N32" s="107" t="s">
        <v>76</v>
      </c>
      <c r="O32" s="7"/>
    </row>
    <row r="33" spans="1:15" ht="12.75" customHeight="1">
      <c r="A33" s="700"/>
      <c r="B33" s="62"/>
      <c r="C33" s="63" t="s">
        <v>50</v>
      </c>
      <c r="D33" s="393" t="s">
        <v>216</v>
      </c>
      <c r="E33" s="9"/>
      <c r="F33" s="697"/>
      <c r="G33" s="9"/>
      <c r="H33" s="126">
        <f t="shared" si="1"/>
        <v>1200</v>
      </c>
      <c r="I33" s="107" t="s">
        <v>76</v>
      </c>
      <c r="J33" s="78"/>
      <c r="K33" s="78">
        <v>1200</v>
      </c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4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>
      <c r="A35" s="711" t="s">
        <v>155</v>
      </c>
      <c r="B35" s="62"/>
      <c r="C35" s="698" t="s">
        <v>51</v>
      </c>
      <c r="D35" s="6" t="s">
        <v>81</v>
      </c>
      <c r="E35" s="9"/>
      <c r="F35" s="693" t="s">
        <v>284</v>
      </c>
      <c r="G35" s="9"/>
      <c r="H35" s="126">
        <f t="shared" si="1"/>
        <v>195152.7</v>
      </c>
      <c r="I35" s="107" t="s">
        <v>76</v>
      </c>
      <c r="J35" s="78"/>
      <c r="K35" s="418">
        <v>195152.7</v>
      </c>
      <c r="L35" s="26"/>
      <c r="M35" s="26"/>
      <c r="N35" s="107" t="s">
        <v>76</v>
      </c>
      <c r="O35" s="7"/>
    </row>
    <row r="36" spans="1:21" ht="12.75">
      <c r="A36" s="711"/>
      <c r="B36" s="62"/>
      <c r="C36" s="698"/>
      <c r="D36" s="6" t="s">
        <v>166</v>
      </c>
      <c r="E36" s="9"/>
      <c r="F36" s="697"/>
      <c r="G36" s="9"/>
      <c r="H36" s="126">
        <f t="shared" si="1"/>
        <v>148024.8</v>
      </c>
      <c r="I36" s="107" t="s">
        <v>76</v>
      </c>
      <c r="J36" s="78"/>
      <c r="K36" s="418">
        <v>148024.8</v>
      </c>
      <c r="L36" s="26"/>
      <c r="M36" s="26"/>
      <c r="N36" s="107" t="s">
        <v>76</v>
      </c>
      <c r="O36" s="7"/>
      <c r="U36" s="9"/>
    </row>
    <row r="37" spans="1:15" ht="12.75">
      <c r="A37" s="711"/>
      <c r="B37" s="62"/>
      <c r="C37" s="698"/>
      <c r="D37" s="9" t="s">
        <v>196</v>
      </c>
      <c r="E37" s="9"/>
      <c r="F37" s="694"/>
      <c r="G37" s="9"/>
      <c r="H37" s="126">
        <f t="shared" si="1"/>
        <v>16447.2</v>
      </c>
      <c r="I37" s="107" t="s">
        <v>76</v>
      </c>
      <c r="J37" s="78"/>
      <c r="K37" s="418">
        <v>16447.2</v>
      </c>
      <c r="L37" s="26"/>
      <c r="M37" s="26"/>
      <c r="N37" s="107" t="s">
        <v>76</v>
      </c>
      <c r="O37" s="7"/>
    </row>
    <row r="38" spans="1:15" ht="63.75">
      <c r="A38" s="65" t="s">
        <v>43</v>
      </c>
      <c r="B38" s="66"/>
      <c r="C38" s="368" t="s">
        <v>42</v>
      </c>
      <c r="D38" s="6" t="s">
        <v>162</v>
      </c>
      <c r="E38" s="9"/>
      <c r="F38" s="6" t="s">
        <v>284</v>
      </c>
      <c r="G38" s="9"/>
      <c r="H38" s="126">
        <f t="shared" si="1"/>
        <v>950000</v>
      </c>
      <c r="I38" s="107" t="s">
        <v>76</v>
      </c>
      <c r="J38" s="78"/>
      <c r="K38" s="78">
        <v>950000</v>
      </c>
      <c r="L38" s="26"/>
      <c r="M38" s="26"/>
      <c r="N38" s="107" t="s">
        <v>76</v>
      </c>
      <c r="O38" s="7"/>
    </row>
    <row r="39" spans="1:15" ht="25.5">
      <c r="A39" s="65" t="s">
        <v>225</v>
      </c>
      <c r="B39" s="66"/>
      <c r="C39" s="59" t="s">
        <v>203</v>
      </c>
      <c r="D39" s="59" t="s">
        <v>81</v>
      </c>
      <c r="E39" s="59"/>
      <c r="F39" s="6" t="s">
        <v>284</v>
      </c>
      <c r="G39" s="9"/>
      <c r="H39" s="126">
        <f t="shared" si="1"/>
        <v>10000</v>
      </c>
      <c r="I39" s="107" t="s">
        <v>76</v>
      </c>
      <c r="J39" s="78"/>
      <c r="K39" s="78">
        <v>10000</v>
      </c>
      <c r="L39" s="26"/>
      <c r="M39" s="26"/>
      <c r="N39" s="107" t="s">
        <v>76</v>
      </c>
      <c r="O39" s="7"/>
    </row>
    <row r="40" spans="1:15" ht="21" customHeight="1" hidden="1">
      <c r="A40" s="689" t="s">
        <v>199</v>
      </c>
      <c r="B40" s="66"/>
      <c r="C40" s="690" t="s">
        <v>192</v>
      </c>
      <c r="D40" s="59" t="s">
        <v>193</v>
      </c>
      <c r="E40" s="59"/>
      <c r="F40" s="693" t="s">
        <v>209</v>
      </c>
      <c r="G40" s="9"/>
      <c r="H40" s="126">
        <f t="shared" si="1"/>
        <v>0</v>
      </c>
      <c r="I40" s="107" t="s">
        <v>76</v>
      </c>
      <c r="J40" s="78"/>
      <c r="K40" s="78"/>
      <c r="L40" s="26"/>
      <c r="M40" s="26"/>
      <c r="N40" s="107" t="s">
        <v>76</v>
      </c>
      <c r="O40" s="7"/>
    </row>
    <row r="41" spans="1:15" ht="18" customHeight="1" hidden="1">
      <c r="A41" s="689"/>
      <c r="B41" s="66"/>
      <c r="C41" s="690"/>
      <c r="D41" s="59" t="s">
        <v>196</v>
      </c>
      <c r="E41" s="59"/>
      <c r="F41" s="694"/>
      <c r="G41" s="9"/>
      <c r="H41" s="126">
        <f t="shared" si="1"/>
        <v>0</v>
      </c>
      <c r="I41" s="107" t="s">
        <v>76</v>
      </c>
      <c r="J41" s="78"/>
      <c r="K41" s="78"/>
      <c r="L41" s="26"/>
      <c r="M41" s="26"/>
      <c r="N41" s="107" t="s">
        <v>76</v>
      </c>
      <c r="O41" s="7"/>
    </row>
    <row r="42" spans="1:15" ht="38.25" hidden="1">
      <c r="A42" s="22" t="s">
        <v>49</v>
      </c>
      <c r="B42" s="6"/>
      <c r="C42" s="6" t="s">
        <v>23</v>
      </c>
      <c r="D42" s="6" t="s">
        <v>228</v>
      </c>
      <c r="E42" s="6"/>
      <c r="F42" s="6" t="s">
        <v>209</v>
      </c>
      <c r="G42" s="6"/>
      <c r="H42" s="129">
        <f t="shared" si="1"/>
        <v>0</v>
      </c>
      <c r="I42" s="26"/>
      <c r="J42" s="26"/>
      <c r="K42" s="78"/>
      <c r="L42" s="26"/>
      <c r="M42" s="26"/>
      <c r="N42" s="26"/>
      <c r="O42" s="7"/>
    </row>
    <row r="43" spans="1:15" ht="22.5" customHeight="1" hidden="1">
      <c r="A43" s="8" t="s">
        <v>229</v>
      </c>
      <c r="B43" s="6"/>
      <c r="C43" s="22" t="s">
        <v>230</v>
      </c>
      <c r="D43" s="6" t="s">
        <v>81</v>
      </c>
      <c r="E43" s="9"/>
      <c r="F43" s="15" t="s">
        <v>209</v>
      </c>
      <c r="G43" s="9"/>
      <c r="H43" s="126">
        <f t="shared" si="1"/>
        <v>0</v>
      </c>
      <c r="I43" s="107"/>
      <c r="J43" s="78"/>
      <c r="K43" s="26"/>
      <c r="L43" s="26"/>
      <c r="M43" s="26"/>
      <c r="N43" s="26"/>
      <c r="O43" s="7"/>
    </row>
    <row r="44" spans="1:21" s="25" customFormat="1" ht="17.25" customHeight="1">
      <c r="A44" s="23" t="s">
        <v>94</v>
      </c>
      <c r="B44" s="24" t="s">
        <v>95</v>
      </c>
      <c r="C44" s="56" t="s">
        <v>76</v>
      </c>
      <c r="D44" s="56" t="s">
        <v>76</v>
      </c>
      <c r="E44" s="56" t="s">
        <v>76</v>
      </c>
      <c r="F44" s="56" t="s">
        <v>76</v>
      </c>
      <c r="G44" s="56" t="s">
        <v>76</v>
      </c>
      <c r="H44" s="130">
        <f>I44+N44+K44</f>
        <v>23283303.7</v>
      </c>
      <c r="I44" s="130">
        <f>I50+I74+I92</f>
        <v>21046839</v>
      </c>
      <c r="J44" s="130"/>
      <c r="K44" s="130">
        <f>K92+K96+K98+K106+K117+K120+K122+K100+K125+K127+K129</f>
        <v>2136964.7</v>
      </c>
      <c r="L44" s="130"/>
      <c r="M44" s="130"/>
      <c r="N44" s="130">
        <f>N131</f>
        <v>99500.00000000001</v>
      </c>
      <c r="O44" s="95"/>
      <c r="U44" s="380"/>
    </row>
    <row r="45" spans="1:15" s="25" customFormat="1" ht="18" customHeight="1">
      <c r="A45" s="8" t="s">
        <v>96</v>
      </c>
      <c r="B45" s="9" t="s">
        <v>97</v>
      </c>
      <c r="C45" s="26" t="s">
        <v>76</v>
      </c>
      <c r="D45" s="26" t="s">
        <v>76</v>
      </c>
      <c r="E45" s="26" t="s">
        <v>76</v>
      </c>
      <c r="F45" s="26" t="s">
        <v>76</v>
      </c>
      <c r="G45" s="26" t="s">
        <v>76</v>
      </c>
      <c r="H45" s="126">
        <f>I45+N45</f>
        <v>16594000</v>
      </c>
      <c r="I45" s="78">
        <f>I46+I48</f>
        <v>16594000</v>
      </c>
      <c r="J45" s="78"/>
      <c r="K45" s="78"/>
      <c r="L45" s="78"/>
      <c r="M45" s="78"/>
      <c r="N45" s="78"/>
      <c r="O45" s="7" t="s">
        <v>76</v>
      </c>
    </row>
    <row r="46" spans="1:15" s="25" customFormat="1" ht="25.5">
      <c r="A46" s="22" t="s">
        <v>98</v>
      </c>
      <c r="B46" s="9" t="s">
        <v>99</v>
      </c>
      <c r="C46" s="26" t="s">
        <v>76</v>
      </c>
      <c r="D46" s="26" t="s">
        <v>76</v>
      </c>
      <c r="E46" s="26" t="s">
        <v>76</v>
      </c>
      <c r="F46" s="26" t="s">
        <v>76</v>
      </c>
      <c r="G46" s="26" t="s">
        <v>76</v>
      </c>
      <c r="H46" s="126">
        <f>I46+N46</f>
        <v>16594000</v>
      </c>
      <c r="I46" s="78">
        <f>I51+I52+I54+I55</f>
        <v>16594000</v>
      </c>
      <c r="J46" s="78"/>
      <c r="K46" s="78"/>
      <c r="L46" s="78"/>
      <c r="M46" s="78"/>
      <c r="N46" s="78"/>
      <c r="O46" s="7" t="s">
        <v>76</v>
      </c>
    </row>
    <row r="47" spans="1:15" s="25" customFormat="1" ht="9.75" customHeight="1" hidden="1">
      <c r="A47" s="8" t="s">
        <v>100</v>
      </c>
      <c r="B47" s="9" t="s">
        <v>101</v>
      </c>
      <c r="C47" s="26" t="s">
        <v>76</v>
      </c>
      <c r="D47" s="26" t="s">
        <v>76</v>
      </c>
      <c r="E47" s="26" t="s">
        <v>76</v>
      </c>
      <c r="F47" s="26" t="s">
        <v>76</v>
      </c>
      <c r="G47" s="26" t="s">
        <v>76</v>
      </c>
      <c r="H47" s="126"/>
      <c r="I47" s="78"/>
      <c r="J47" s="78"/>
      <c r="K47" s="78"/>
      <c r="L47" s="78"/>
      <c r="M47" s="78"/>
      <c r="N47" s="78"/>
      <c r="O47" s="7" t="s">
        <v>76</v>
      </c>
    </row>
    <row r="48" spans="1:15" s="25" customFormat="1" ht="25.5" hidden="1">
      <c r="A48" s="8" t="s">
        <v>102</v>
      </c>
      <c r="B48" s="9" t="s">
        <v>103</v>
      </c>
      <c r="C48" s="26" t="s">
        <v>76</v>
      </c>
      <c r="D48" s="26" t="s">
        <v>76</v>
      </c>
      <c r="E48" s="26" t="s">
        <v>76</v>
      </c>
      <c r="F48" s="26" t="s">
        <v>76</v>
      </c>
      <c r="G48" s="26" t="s">
        <v>76</v>
      </c>
      <c r="H48" s="126">
        <f>I48+N48</f>
        <v>0</v>
      </c>
      <c r="I48" s="78"/>
      <c r="J48" s="78"/>
      <c r="K48" s="78"/>
      <c r="L48" s="78"/>
      <c r="M48" s="78"/>
      <c r="N48" s="78"/>
      <c r="O48" s="7" t="s">
        <v>76</v>
      </c>
    </row>
    <row r="49" spans="1:15" s="25" customFormat="1" ht="13.5" customHeight="1" hidden="1">
      <c r="A49" s="8" t="s">
        <v>104</v>
      </c>
      <c r="B49" s="9" t="s">
        <v>105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v>0</v>
      </c>
      <c r="I49" s="78">
        <v>0</v>
      </c>
      <c r="J49" s="78"/>
      <c r="K49" s="78"/>
      <c r="L49" s="78"/>
      <c r="M49" s="78"/>
      <c r="N49" s="78"/>
      <c r="O49" s="21"/>
    </row>
    <row r="50" spans="1:15" s="25" customFormat="1" ht="29.25" customHeight="1">
      <c r="A50" s="681" t="s">
        <v>106</v>
      </c>
      <c r="B50" s="683"/>
      <c r="C50" s="27" t="s">
        <v>18</v>
      </c>
      <c r="D50" s="3"/>
      <c r="E50" s="27"/>
      <c r="F50" s="3"/>
      <c r="G50" s="3"/>
      <c r="H50" s="124">
        <f>SUM(H51:H73)</f>
        <v>17097800</v>
      </c>
      <c r="I50" s="97">
        <f>SUM(I51:I73)</f>
        <v>17097800</v>
      </c>
      <c r="J50" s="110"/>
      <c r="K50" s="111" t="s">
        <v>107</v>
      </c>
      <c r="L50" s="111"/>
      <c r="M50" s="111"/>
      <c r="N50" s="111" t="s">
        <v>107</v>
      </c>
      <c r="O50" s="28"/>
    </row>
    <row r="51" spans="1:15" s="25" customFormat="1" ht="12.75">
      <c r="A51" s="22" t="s">
        <v>4</v>
      </c>
      <c r="B51" s="9"/>
      <c r="C51" s="6" t="s">
        <v>18</v>
      </c>
      <c r="D51" s="14">
        <v>14130030000000000</v>
      </c>
      <c r="E51" s="6" t="s">
        <v>108</v>
      </c>
      <c r="F51" s="6" t="s">
        <v>99</v>
      </c>
      <c r="G51" s="6" t="s">
        <v>109</v>
      </c>
      <c r="H51" s="126">
        <f>I51</f>
        <v>12739000</v>
      </c>
      <c r="I51" s="112">
        <v>12739000</v>
      </c>
      <c r="J51" s="78"/>
      <c r="K51" s="107" t="s">
        <v>76</v>
      </c>
      <c r="L51" s="107" t="s">
        <v>76</v>
      </c>
      <c r="M51" s="107" t="s">
        <v>76</v>
      </c>
      <c r="N51" s="107" t="s">
        <v>76</v>
      </c>
      <c r="O51" s="6" t="s">
        <v>76</v>
      </c>
    </row>
    <row r="52" spans="1:15" s="25" customFormat="1" ht="15.75" customHeight="1" hidden="1">
      <c r="A52" s="22" t="s">
        <v>5</v>
      </c>
      <c r="B52" s="9"/>
      <c r="C52" s="6" t="s">
        <v>18</v>
      </c>
      <c r="D52" s="9" t="s">
        <v>81</v>
      </c>
      <c r="E52" s="6" t="s">
        <v>108</v>
      </c>
      <c r="F52" s="6" t="s">
        <v>110</v>
      </c>
      <c r="G52" s="6" t="s">
        <v>111</v>
      </c>
      <c r="H52" s="126">
        <f>I52</f>
        <v>0</v>
      </c>
      <c r="I52" s="78"/>
      <c r="J52" s="78"/>
      <c r="K52" s="107" t="s">
        <v>76</v>
      </c>
      <c r="L52" s="107" t="s">
        <v>76</v>
      </c>
      <c r="M52" s="107" t="s">
        <v>76</v>
      </c>
      <c r="N52" s="107" t="s">
        <v>76</v>
      </c>
      <c r="O52" s="6"/>
    </row>
    <row r="53" spans="1:15" s="25" customFormat="1" ht="12.75" hidden="1">
      <c r="A53" s="22" t="s">
        <v>5</v>
      </c>
      <c r="B53" s="9"/>
      <c r="C53" s="9"/>
      <c r="D53" s="15"/>
      <c r="E53" s="9"/>
      <c r="F53" s="9" t="s">
        <v>110</v>
      </c>
      <c r="G53" s="9" t="s">
        <v>111</v>
      </c>
      <c r="H53" s="126">
        <f aca="true" t="shared" si="2" ref="H53:H73">I53</f>
        <v>0</v>
      </c>
      <c r="I53" s="78"/>
      <c r="J53" s="78"/>
      <c r="K53" s="107" t="s">
        <v>76</v>
      </c>
      <c r="L53" s="107" t="s">
        <v>76</v>
      </c>
      <c r="M53" s="107" t="s">
        <v>76</v>
      </c>
      <c r="N53" s="107" t="s">
        <v>76</v>
      </c>
      <c r="O53" s="6" t="s">
        <v>76</v>
      </c>
    </row>
    <row r="54" spans="1:15" s="25" customFormat="1" ht="12.75">
      <c r="A54" s="81" t="s">
        <v>6</v>
      </c>
      <c r="B54" s="9"/>
      <c r="C54" s="6" t="s">
        <v>18</v>
      </c>
      <c r="D54" s="14">
        <v>14130030000000000</v>
      </c>
      <c r="E54" s="6" t="s">
        <v>108</v>
      </c>
      <c r="F54" s="6" t="s">
        <v>112</v>
      </c>
      <c r="G54" s="6" t="s">
        <v>113</v>
      </c>
      <c r="H54" s="126">
        <f t="shared" si="2"/>
        <v>3855000</v>
      </c>
      <c r="I54" s="78">
        <v>3855000</v>
      </c>
      <c r="J54" s="78"/>
      <c r="K54" s="107" t="s">
        <v>76</v>
      </c>
      <c r="L54" s="107" t="s">
        <v>76</v>
      </c>
      <c r="M54" s="107" t="s">
        <v>76</v>
      </c>
      <c r="N54" s="107" t="s">
        <v>76</v>
      </c>
      <c r="O54" s="6" t="s">
        <v>76</v>
      </c>
    </row>
    <row r="55" spans="1:15" s="25" customFormat="1" ht="12.75" hidden="1">
      <c r="A55" s="86"/>
      <c r="B55" s="12"/>
      <c r="C55" s="60"/>
      <c r="D55" s="30">
        <v>14130030000000000</v>
      </c>
      <c r="E55" s="29"/>
      <c r="F55" s="31"/>
      <c r="G55" s="31"/>
      <c r="H55" s="126">
        <f t="shared" si="2"/>
        <v>0</v>
      </c>
      <c r="I55" s="78"/>
      <c r="J55" s="100"/>
      <c r="K55" s="101" t="s">
        <v>76</v>
      </c>
      <c r="L55" s="101" t="s">
        <v>76</v>
      </c>
      <c r="M55" s="101" t="s">
        <v>76</v>
      </c>
      <c r="N55" s="101" t="s">
        <v>76</v>
      </c>
      <c r="O55" s="6"/>
    </row>
    <row r="56" spans="1:15" s="25" customFormat="1" ht="13.5" customHeight="1">
      <c r="A56" s="691" t="s">
        <v>7</v>
      </c>
      <c r="B56" s="9"/>
      <c r="C56" s="693" t="s">
        <v>18</v>
      </c>
      <c r="D56" s="9" t="s">
        <v>81</v>
      </c>
      <c r="E56" s="9" t="s">
        <v>108</v>
      </c>
      <c r="F56" s="693" t="s">
        <v>114</v>
      </c>
      <c r="G56" s="9" t="s">
        <v>115</v>
      </c>
      <c r="H56" s="126">
        <f t="shared" si="2"/>
        <v>32600</v>
      </c>
      <c r="I56" s="113">
        <v>32600</v>
      </c>
      <c r="J56" s="100"/>
      <c r="K56" s="101" t="s">
        <v>76</v>
      </c>
      <c r="L56" s="101" t="s">
        <v>76</v>
      </c>
      <c r="M56" s="101" t="s">
        <v>76</v>
      </c>
      <c r="N56" s="101" t="s">
        <v>76</v>
      </c>
      <c r="O56" s="6" t="s">
        <v>76</v>
      </c>
    </row>
    <row r="57" spans="1:15" s="25" customFormat="1" ht="12.75" customHeight="1" hidden="1">
      <c r="A57" s="696"/>
      <c r="B57" s="9"/>
      <c r="C57" s="697"/>
      <c r="D57" s="15"/>
      <c r="E57" s="9"/>
      <c r="F57" s="697"/>
      <c r="G57" s="9" t="s">
        <v>115</v>
      </c>
      <c r="H57" s="126">
        <f t="shared" si="2"/>
        <v>0</v>
      </c>
      <c r="I57" s="78"/>
      <c r="J57" s="100"/>
      <c r="K57" s="101" t="s">
        <v>76</v>
      </c>
      <c r="L57" s="101" t="s">
        <v>76</v>
      </c>
      <c r="M57" s="101" t="s">
        <v>76</v>
      </c>
      <c r="N57" s="101" t="s">
        <v>76</v>
      </c>
      <c r="O57" s="6" t="s">
        <v>76</v>
      </c>
    </row>
    <row r="58" spans="1:15" s="25" customFormat="1" ht="12.75" customHeight="1" hidden="1">
      <c r="A58" s="696"/>
      <c r="B58" s="9"/>
      <c r="C58" s="697"/>
      <c r="D58" s="15"/>
      <c r="E58" s="9"/>
      <c r="F58" s="697"/>
      <c r="G58" s="9"/>
      <c r="H58" s="126">
        <f t="shared" si="2"/>
        <v>0</v>
      </c>
      <c r="I58" s="78"/>
      <c r="J58" s="100"/>
      <c r="K58" s="101" t="s">
        <v>76</v>
      </c>
      <c r="L58" s="101" t="s">
        <v>76</v>
      </c>
      <c r="M58" s="101" t="s">
        <v>76</v>
      </c>
      <c r="N58" s="101" t="s">
        <v>76</v>
      </c>
      <c r="O58" s="6" t="s">
        <v>76</v>
      </c>
    </row>
    <row r="59" spans="1:15" s="25" customFormat="1" ht="12.75" customHeight="1" hidden="1">
      <c r="A59" s="696"/>
      <c r="B59" s="9"/>
      <c r="C59" s="697"/>
      <c r="D59" s="15"/>
      <c r="E59" s="9"/>
      <c r="F59" s="697"/>
      <c r="G59" s="9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 t="s">
        <v>76</v>
      </c>
    </row>
    <row r="60" spans="1:15" s="25" customFormat="1" ht="12.75" customHeight="1" hidden="1">
      <c r="A60" s="696"/>
      <c r="B60" s="9"/>
      <c r="C60" s="697"/>
      <c r="D60" s="15"/>
      <c r="E60" s="9"/>
      <c r="F60" s="697"/>
      <c r="G60" s="9"/>
      <c r="H60" s="126">
        <f t="shared" si="2"/>
        <v>0</v>
      </c>
      <c r="I60" s="78"/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>
      <c r="A61" s="692"/>
      <c r="B61" s="9"/>
      <c r="C61" s="694"/>
      <c r="D61" s="14">
        <v>14130030000000000</v>
      </c>
      <c r="E61" s="9" t="s">
        <v>108</v>
      </c>
      <c r="F61" s="694"/>
      <c r="G61" s="9" t="s">
        <v>115</v>
      </c>
      <c r="H61" s="126">
        <f t="shared" si="2"/>
        <v>30000</v>
      </c>
      <c r="I61" s="106">
        <v>30000</v>
      </c>
      <c r="J61" s="100"/>
      <c r="K61" s="101" t="s">
        <v>76</v>
      </c>
      <c r="L61" s="101"/>
      <c r="M61" s="101"/>
      <c r="N61" s="101" t="s">
        <v>76</v>
      </c>
      <c r="O61" s="6"/>
    </row>
    <row r="62" spans="1:15" s="25" customFormat="1" ht="12.75" customHeight="1">
      <c r="A62" s="16" t="s">
        <v>8</v>
      </c>
      <c r="B62" s="9"/>
      <c r="C62" s="6" t="s">
        <v>18</v>
      </c>
      <c r="D62" s="9" t="s">
        <v>81</v>
      </c>
      <c r="E62" s="10" t="s">
        <v>108</v>
      </c>
      <c r="F62" s="11" t="s">
        <v>128</v>
      </c>
      <c r="G62" s="10" t="s">
        <v>115</v>
      </c>
      <c r="H62" s="126">
        <f t="shared" si="2"/>
        <v>102000</v>
      </c>
      <c r="I62" s="113">
        <v>102000</v>
      </c>
      <c r="J62" s="100"/>
      <c r="K62" s="101" t="s">
        <v>76</v>
      </c>
      <c r="L62" s="101"/>
      <c r="M62" s="101"/>
      <c r="N62" s="101" t="s">
        <v>76</v>
      </c>
      <c r="O62" s="6"/>
    </row>
    <row r="63" spans="1:15" s="25" customFormat="1" ht="12.75">
      <c r="A63" s="684" t="s">
        <v>12</v>
      </c>
      <c r="B63" s="9"/>
      <c r="C63" s="693" t="s">
        <v>18</v>
      </c>
      <c r="D63" s="9" t="s">
        <v>81</v>
      </c>
      <c r="E63" s="693" t="s">
        <v>108</v>
      </c>
      <c r="F63" s="693" t="s">
        <v>116</v>
      </c>
      <c r="G63" s="693" t="s">
        <v>115</v>
      </c>
      <c r="H63" s="126">
        <f t="shared" si="2"/>
        <v>272300</v>
      </c>
      <c r="I63" s="113">
        <f>216300+56000</f>
        <v>272300</v>
      </c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hidden="1">
      <c r="A64" s="686"/>
      <c r="B64" s="9"/>
      <c r="C64" s="694"/>
      <c r="D64" s="14">
        <v>14130030000000000</v>
      </c>
      <c r="E64" s="694"/>
      <c r="F64" s="694"/>
      <c r="G64" s="694"/>
      <c r="H64" s="126">
        <f t="shared" si="2"/>
        <v>0</v>
      </c>
      <c r="I64" s="79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/>
    </row>
    <row r="65" spans="1:15" s="25" customFormat="1" ht="12.75" hidden="1">
      <c r="A65" s="22" t="s">
        <v>13</v>
      </c>
      <c r="B65" s="9"/>
      <c r="C65" s="9"/>
      <c r="D65" s="15"/>
      <c r="E65" s="9"/>
      <c r="F65" s="9" t="s">
        <v>117</v>
      </c>
      <c r="G65" s="9" t="s">
        <v>115</v>
      </c>
      <c r="H65" s="126">
        <f t="shared" si="2"/>
        <v>0</v>
      </c>
      <c r="I65" s="78"/>
      <c r="J65" s="100"/>
      <c r="K65" s="101" t="s">
        <v>76</v>
      </c>
      <c r="L65" s="101" t="s">
        <v>76</v>
      </c>
      <c r="M65" s="101" t="s">
        <v>76</v>
      </c>
      <c r="N65" s="101" t="s">
        <v>76</v>
      </c>
      <c r="O65" s="6" t="s">
        <v>76</v>
      </c>
    </row>
    <row r="66" spans="1:15" s="25" customFormat="1" ht="25.5">
      <c r="A66" s="22" t="s">
        <v>245</v>
      </c>
      <c r="B66" s="9"/>
      <c r="C66" s="9" t="s">
        <v>18</v>
      </c>
      <c r="D66" s="14">
        <v>14130010000000000</v>
      </c>
      <c r="E66" s="9" t="s">
        <v>108</v>
      </c>
      <c r="F66" s="9" t="s">
        <v>246</v>
      </c>
      <c r="G66" s="10" t="s">
        <v>109</v>
      </c>
      <c r="H66" s="126">
        <f>I66</f>
        <v>25500</v>
      </c>
      <c r="I66" s="78">
        <v>25500</v>
      </c>
      <c r="J66" s="100"/>
      <c r="K66" s="101" t="s">
        <v>76</v>
      </c>
      <c r="L66" s="101" t="s">
        <v>76</v>
      </c>
      <c r="M66" s="101" t="s">
        <v>76</v>
      </c>
      <c r="N66" s="101" t="s">
        <v>76</v>
      </c>
      <c r="O66" s="6"/>
    </row>
    <row r="67" spans="1:15" s="25" customFormat="1" ht="12.75" hidden="1">
      <c r="A67" s="22" t="s">
        <v>14</v>
      </c>
      <c r="B67" s="9"/>
      <c r="C67" s="9" t="s">
        <v>18</v>
      </c>
      <c r="D67" s="14">
        <v>14130030000000000</v>
      </c>
      <c r="E67" s="695" t="s">
        <v>108</v>
      </c>
      <c r="F67" s="9" t="s">
        <v>118</v>
      </c>
      <c r="G67" s="9" t="s">
        <v>115</v>
      </c>
      <c r="H67" s="126">
        <f t="shared" si="2"/>
        <v>0</v>
      </c>
      <c r="I67" s="79"/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51" hidden="1">
      <c r="A68" s="82" t="s">
        <v>237</v>
      </c>
      <c r="B68" s="9"/>
      <c r="C68" s="83" t="s">
        <v>18</v>
      </c>
      <c r="D68" s="9" t="s">
        <v>81</v>
      </c>
      <c r="E68" s="695"/>
      <c r="F68" s="84" t="s">
        <v>238</v>
      </c>
      <c r="G68" s="84" t="s">
        <v>115</v>
      </c>
      <c r="H68" s="126">
        <f t="shared" si="2"/>
        <v>0</v>
      </c>
      <c r="I68" s="113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38.25">
      <c r="A69" s="82" t="s">
        <v>239</v>
      </c>
      <c r="B69" s="9"/>
      <c r="C69" s="83" t="s">
        <v>18</v>
      </c>
      <c r="D69" s="9" t="s">
        <v>81</v>
      </c>
      <c r="E69" s="83" t="s">
        <v>108</v>
      </c>
      <c r="F69" s="84" t="s">
        <v>240</v>
      </c>
      <c r="G69" s="84" t="s">
        <v>115</v>
      </c>
      <c r="H69" s="126">
        <f t="shared" si="2"/>
        <v>1400</v>
      </c>
      <c r="I69" s="106">
        <v>1400</v>
      </c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/>
    </row>
    <row r="70" spans="1:15" s="25" customFormat="1" ht="25.5">
      <c r="A70" s="22" t="s">
        <v>241</v>
      </c>
      <c r="B70" s="9"/>
      <c r="C70" s="9" t="s">
        <v>18</v>
      </c>
      <c r="D70" s="14">
        <v>14130030000000000</v>
      </c>
      <c r="E70" s="10" t="s">
        <v>108</v>
      </c>
      <c r="F70" s="9" t="s">
        <v>242</v>
      </c>
      <c r="G70" s="9" t="s">
        <v>115</v>
      </c>
      <c r="H70" s="126">
        <f t="shared" si="2"/>
        <v>40000</v>
      </c>
      <c r="I70" s="376">
        <f>20000+20000</f>
        <v>40000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25.5">
      <c r="A71" s="394" t="s">
        <v>243</v>
      </c>
      <c r="B71" s="6"/>
      <c r="C71" s="6" t="s">
        <v>18</v>
      </c>
      <c r="D71" s="395">
        <v>14130030000000000</v>
      </c>
      <c r="E71" s="6" t="s">
        <v>108</v>
      </c>
      <c r="F71" s="6" t="s">
        <v>244</v>
      </c>
      <c r="G71" s="6" t="s">
        <v>115</v>
      </c>
      <c r="H71" s="126">
        <f t="shared" si="2"/>
        <v>0</v>
      </c>
      <c r="I71" s="376">
        <f>20000-20000</f>
        <v>0</v>
      </c>
      <c r="J71" s="107"/>
      <c r="K71" s="107" t="s">
        <v>76</v>
      </c>
      <c r="L71" s="107" t="s">
        <v>76</v>
      </c>
      <c r="M71" s="107" t="s">
        <v>76</v>
      </c>
      <c r="N71" s="107" t="s">
        <v>76</v>
      </c>
      <c r="O71" s="6"/>
    </row>
    <row r="72" spans="1:15" s="25" customFormat="1" ht="12.75" hidden="1">
      <c r="A72" s="691" t="s">
        <v>188</v>
      </c>
      <c r="B72" s="9"/>
      <c r="C72" s="693" t="s">
        <v>18</v>
      </c>
      <c r="D72" s="9" t="s">
        <v>81</v>
      </c>
      <c r="E72" s="693" t="s">
        <v>108</v>
      </c>
      <c r="F72" s="693" t="s">
        <v>119</v>
      </c>
      <c r="G72" s="693" t="s">
        <v>115</v>
      </c>
      <c r="H72" s="126">
        <f t="shared" si="2"/>
        <v>0</v>
      </c>
      <c r="I72" s="78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12.75" hidden="1">
      <c r="A73" s="692"/>
      <c r="B73" s="9"/>
      <c r="C73" s="694"/>
      <c r="D73" s="14">
        <v>14130030000000000</v>
      </c>
      <c r="E73" s="694"/>
      <c r="F73" s="694"/>
      <c r="G73" s="694"/>
      <c r="H73" s="126">
        <f t="shared" si="2"/>
        <v>0</v>
      </c>
      <c r="I73" s="79"/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 t="s">
        <v>76</v>
      </c>
    </row>
    <row r="74" spans="1:15" s="25" customFormat="1" ht="27.75" customHeight="1">
      <c r="A74" s="681" t="s">
        <v>189</v>
      </c>
      <c r="B74" s="683"/>
      <c r="C74" s="27" t="s">
        <v>20</v>
      </c>
      <c r="D74" s="3"/>
      <c r="E74" s="27"/>
      <c r="F74" s="3"/>
      <c r="G74" s="3"/>
      <c r="H74" s="124">
        <f>I74</f>
        <v>3949039</v>
      </c>
      <c r="I74" s="97">
        <f>SUM(I75:I91)</f>
        <v>3949039</v>
      </c>
      <c r="J74" s="110"/>
      <c r="K74" s="111" t="s">
        <v>107</v>
      </c>
      <c r="L74" s="111"/>
      <c r="M74" s="111"/>
      <c r="N74" s="111" t="s">
        <v>107</v>
      </c>
      <c r="O74" s="28"/>
    </row>
    <row r="75" spans="1:15" s="25" customFormat="1" ht="15" customHeight="1">
      <c r="A75" s="22" t="s">
        <v>9</v>
      </c>
      <c r="B75" s="9"/>
      <c r="C75" s="9" t="s">
        <v>20</v>
      </c>
      <c r="D75" s="9" t="s">
        <v>81</v>
      </c>
      <c r="E75" s="9" t="s">
        <v>108</v>
      </c>
      <c r="F75" s="9" t="s">
        <v>120</v>
      </c>
      <c r="G75" s="9" t="s">
        <v>115</v>
      </c>
      <c r="H75" s="126">
        <f>I75</f>
        <v>934139</v>
      </c>
      <c r="I75" s="78">
        <f>1083500-149361</f>
        <v>934139</v>
      </c>
      <c r="J75" s="78"/>
      <c r="K75" s="107" t="s">
        <v>76</v>
      </c>
      <c r="L75" s="107" t="s">
        <v>76</v>
      </c>
      <c r="M75" s="107" t="s">
        <v>76</v>
      </c>
      <c r="N75" s="107" t="s">
        <v>76</v>
      </c>
      <c r="O75" s="6" t="s">
        <v>76</v>
      </c>
    </row>
    <row r="76" spans="1:15" s="25" customFormat="1" ht="15" customHeight="1">
      <c r="A76" s="82" t="s">
        <v>8</v>
      </c>
      <c r="B76" s="9"/>
      <c r="C76" s="9" t="s">
        <v>20</v>
      </c>
      <c r="D76" s="9" t="s">
        <v>81</v>
      </c>
      <c r="E76" s="10" t="s">
        <v>108</v>
      </c>
      <c r="F76" s="10" t="s">
        <v>128</v>
      </c>
      <c r="G76" s="10" t="s">
        <v>115</v>
      </c>
      <c r="H76" s="126">
        <f>I76</f>
        <v>17547.48</v>
      </c>
      <c r="I76" s="78">
        <v>17547.48</v>
      </c>
      <c r="J76" s="78"/>
      <c r="K76" s="107"/>
      <c r="L76" s="107"/>
      <c r="M76" s="107"/>
      <c r="N76" s="107"/>
      <c r="O76" s="6"/>
    </row>
    <row r="77" spans="1:15" s="25" customFormat="1" ht="15" customHeight="1">
      <c r="A77" s="691" t="s">
        <v>11</v>
      </c>
      <c r="B77" s="9"/>
      <c r="C77" s="693" t="s">
        <v>20</v>
      </c>
      <c r="D77" s="9" t="s">
        <v>81</v>
      </c>
      <c r="E77" s="693" t="s">
        <v>108</v>
      </c>
      <c r="F77" s="693" t="s">
        <v>121</v>
      </c>
      <c r="G77" s="693" t="s">
        <v>115</v>
      </c>
      <c r="H77" s="126">
        <f aca="true" t="shared" si="3" ref="H77:H91">I77</f>
        <v>231900</v>
      </c>
      <c r="I77" s="112">
        <f>246900-15000</f>
        <v>231900</v>
      </c>
      <c r="J77" s="78"/>
      <c r="K77" s="107" t="s">
        <v>76</v>
      </c>
      <c r="L77" s="107" t="s">
        <v>76</v>
      </c>
      <c r="M77" s="107" t="s">
        <v>76</v>
      </c>
      <c r="N77" s="107" t="s">
        <v>76</v>
      </c>
      <c r="O77" s="6" t="s">
        <v>76</v>
      </c>
    </row>
    <row r="78" spans="1:15" s="25" customFormat="1" ht="12.75">
      <c r="A78" s="692"/>
      <c r="B78" s="9"/>
      <c r="C78" s="694"/>
      <c r="D78" s="14">
        <v>14130030000000000</v>
      </c>
      <c r="E78" s="694"/>
      <c r="F78" s="694"/>
      <c r="G78" s="694"/>
      <c r="H78" s="126">
        <f t="shared" si="3"/>
        <v>2020000</v>
      </c>
      <c r="I78" s="112">
        <v>2020000</v>
      </c>
      <c r="J78" s="362"/>
      <c r="K78" s="107" t="s">
        <v>76</v>
      </c>
      <c r="L78" s="107"/>
      <c r="M78" s="107"/>
      <c r="N78" s="107" t="s">
        <v>76</v>
      </c>
      <c r="O78" s="6"/>
    </row>
    <row r="79" spans="1:15" s="25" customFormat="1" ht="12.75">
      <c r="A79" s="691" t="s">
        <v>12</v>
      </c>
      <c r="B79" s="9"/>
      <c r="C79" s="693" t="s">
        <v>20</v>
      </c>
      <c r="D79" s="9" t="s">
        <v>81</v>
      </c>
      <c r="E79" s="693" t="s">
        <v>108</v>
      </c>
      <c r="F79" s="693" t="s">
        <v>116</v>
      </c>
      <c r="G79" s="693" t="s">
        <v>115</v>
      </c>
      <c r="H79" s="126">
        <f t="shared" si="3"/>
        <v>82352.52</v>
      </c>
      <c r="I79" s="78">
        <f>99900-17547.48</f>
        <v>82352.52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2.75">
      <c r="A80" s="692"/>
      <c r="B80" s="9"/>
      <c r="C80" s="694"/>
      <c r="D80" s="14">
        <v>14130030000000000</v>
      </c>
      <c r="E80" s="694"/>
      <c r="F80" s="694"/>
      <c r="G80" s="694"/>
      <c r="H80" s="126">
        <f t="shared" si="3"/>
        <v>534800</v>
      </c>
      <c r="I80" s="115">
        <v>534800</v>
      </c>
      <c r="J80" s="78"/>
      <c r="K80" s="107" t="s">
        <v>76</v>
      </c>
      <c r="L80" s="107"/>
      <c r="M80" s="107"/>
      <c r="N80" s="107" t="s">
        <v>76</v>
      </c>
      <c r="O80" s="6"/>
    </row>
    <row r="81" spans="1:15" s="25" customFormat="1" ht="12.75">
      <c r="A81" s="22" t="s">
        <v>249</v>
      </c>
      <c r="B81" s="9"/>
      <c r="C81" s="9" t="s">
        <v>20</v>
      </c>
      <c r="D81" s="9" t="s">
        <v>81</v>
      </c>
      <c r="E81" s="9" t="s">
        <v>108</v>
      </c>
      <c r="F81" s="9" t="s">
        <v>206</v>
      </c>
      <c r="G81" s="9" t="s">
        <v>122</v>
      </c>
      <c r="H81" s="126">
        <f t="shared" si="3"/>
        <v>55400</v>
      </c>
      <c r="I81" s="78">
        <v>55400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22" t="s">
        <v>249</v>
      </c>
      <c r="B82" s="9"/>
      <c r="C82" s="9" t="s">
        <v>20</v>
      </c>
      <c r="D82" s="9" t="s">
        <v>81</v>
      </c>
      <c r="E82" s="9" t="s">
        <v>108</v>
      </c>
      <c r="F82" s="9" t="s">
        <v>206</v>
      </c>
      <c r="G82" s="9" t="s">
        <v>250</v>
      </c>
      <c r="H82" s="126">
        <f t="shared" si="3"/>
        <v>4800</v>
      </c>
      <c r="I82" s="79">
        <v>4800</v>
      </c>
      <c r="J82" s="78"/>
      <c r="K82" s="107" t="s">
        <v>76</v>
      </c>
      <c r="L82" s="107" t="s">
        <v>76</v>
      </c>
      <c r="M82" s="107" t="s">
        <v>76</v>
      </c>
      <c r="N82" s="107" t="s">
        <v>76</v>
      </c>
      <c r="O82" s="6" t="s">
        <v>76</v>
      </c>
    </row>
    <row r="83" spans="1:15" s="25" customFormat="1" ht="12.75" hidden="1">
      <c r="A83" s="22" t="s">
        <v>14</v>
      </c>
      <c r="B83" s="9"/>
      <c r="C83" s="9" t="s">
        <v>20</v>
      </c>
      <c r="D83" s="9" t="s">
        <v>81</v>
      </c>
      <c r="E83" s="9" t="s">
        <v>124</v>
      </c>
      <c r="F83" s="9" t="s">
        <v>118</v>
      </c>
      <c r="G83" s="9" t="s">
        <v>115</v>
      </c>
      <c r="H83" s="126">
        <f t="shared" si="3"/>
        <v>0</v>
      </c>
      <c r="I83" s="78"/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51" hidden="1">
      <c r="A84" s="82" t="s">
        <v>237</v>
      </c>
      <c r="B84" s="9"/>
      <c r="C84" s="83" t="s">
        <v>18</v>
      </c>
      <c r="D84" s="9" t="s">
        <v>81</v>
      </c>
      <c r="E84" s="83" t="s">
        <v>124</v>
      </c>
      <c r="F84" s="84" t="s">
        <v>238</v>
      </c>
      <c r="G84" s="84" t="s">
        <v>115</v>
      </c>
      <c r="H84" s="126">
        <f t="shared" si="3"/>
        <v>0</v>
      </c>
      <c r="I84" s="78"/>
      <c r="J84" s="78"/>
      <c r="K84" s="107" t="s">
        <v>76</v>
      </c>
      <c r="L84" s="107" t="s">
        <v>76</v>
      </c>
      <c r="M84" s="107" t="s">
        <v>76</v>
      </c>
      <c r="N84" s="107" t="s">
        <v>76</v>
      </c>
      <c r="O84" s="6"/>
    </row>
    <row r="85" spans="1:15" s="25" customFormat="1" ht="38.25" hidden="1">
      <c r="A85" s="82" t="s">
        <v>239</v>
      </c>
      <c r="B85" s="9"/>
      <c r="C85" s="83" t="s">
        <v>18</v>
      </c>
      <c r="D85" s="9" t="s">
        <v>81</v>
      </c>
      <c r="E85" s="83" t="s">
        <v>124</v>
      </c>
      <c r="F85" s="84" t="s">
        <v>240</v>
      </c>
      <c r="G85" s="84" t="s">
        <v>115</v>
      </c>
      <c r="H85" s="126">
        <f t="shared" si="3"/>
        <v>0</v>
      </c>
      <c r="I85" s="78"/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/>
    </row>
    <row r="86" spans="1:15" s="25" customFormat="1" ht="25.5">
      <c r="A86" s="85" t="s">
        <v>248</v>
      </c>
      <c r="B86" s="9"/>
      <c r="C86" s="9" t="s">
        <v>20</v>
      </c>
      <c r="D86" s="9" t="s">
        <v>81</v>
      </c>
      <c r="E86" s="83" t="s">
        <v>108</v>
      </c>
      <c r="F86" s="10" t="s">
        <v>247</v>
      </c>
      <c r="G86" s="84" t="s">
        <v>115</v>
      </c>
      <c r="H86" s="126">
        <f t="shared" si="3"/>
        <v>35000</v>
      </c>
      <c r="I86" s="78">
        <f>10000+10000+15000</f>
        <v>35000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/>
    </row>
    <row r="87" spans="1:15" s="25" customFormat="1" ht="25.5">
      <c r="A87" s="22" t="s">
        <v>241</v>
      </c>
      <c r="B87" s="9"/>
      <c r="C87" s="9" t="s">
        <v>20</v>
      </c>
      <c r="D87" s="9" t="s">
        <v>81</v>
      </c>
      <c r="E87" s="9" t="s">
        <v>108</v>
      </c>
      <c r="F87" s="9" t="s">
        <v>242</v>
      </c>
      <c r="G87" s="9" t="s">
        <v>115</v>
      </c>
      <c r="H87" s="126">
        <f t="shared" si="3"/>
        <v>33100</v>
      </c>
      <c r="I87" s="78">
        <v>33100</v>
      </c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/>
    </row>
    <row r="88" spans="1:15" s="25" customFormat="1" ht="25.5" hidden="1">
      <c r="A88" s="85" t="s">
        <v>243</v>
      </c>
      <c r="B88" s="57"/>
      <c r="C88" s="9" t="s">
        <v>20</v>
      </c>
      <c r="D88" s="9" t="s">
        <v>81</v>
      </c>
      <c r="E88" s="9" t="s">
        <v>108</v>
      </c>
      <c r="F88" s="9" t="s">
        <v>244</v>
      </c>
      <c r="G88" s="9" t="s">
        <v>115</v>
      </c>
      <c r="H88" s="126">
        <f t="shared" si="3"/>
        <v>0</v>
      </c>
      <c r="I88" s="78">
        <f>10000-10000</f>
        <v>0</v>
      </c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12.75" hidden="1">
      <c r="A89" s="22"/>
      <c r="B89" s="9"/>
      <c r="C89" s="9"/>
      <c r="D89" s="9"/>
      <c r="E89" s="9"/>
      <c r="F89" s="9"/>
      <c r="G89" s="9"/>
      <c r="H89" s="126"/>
      <c r="I89" s="78"/>
      <c r="J89" s="78"/>
      <c r="K89" s="107"/>
      <c r="L89" s="107"/>
      <c r="M89" s="107"/>
      <c r="N89" s="107"/>
      <c r="O89" s="6"/>
    </row>
    <row r="90" spans="1:15" s="25" customFormat="1" ht="12.75" hidden="1">
      <c r="A90" s="22"/>
      <c r="B90" s="9"/>
      <c r="C90" s="9"/>
      <c r="D90" s="9"/>
      <c r="E90" s="9"/>
      <c r="F90" s="9"/>
      <c r="G90" s="9"/>
      <c r="H90" s="126"/>
      <c r="I90" s="78"/>
      <c r="J90" s="78"/>
      <c r="K90" s="107"/>
      <c r="L90" s="107"/>
      <c r="M90" s="107"/>
      <c r="N90" s="107"/>
      <c r="O90" s="6"/>
    </row>
    <row r="91" spans="1:15" s="25" customFormat="1" ht="12.75" hidden="1">
      <c r="A91" s="22" t="s">
        <v>188</v>
      </c>
      <c r="B91" s="9"/>
      <c r="C91" s="9" t="s">
        <v>20</v>
      </c>
      <c r="D91" s="9" t="s">
        <v>81</v>
      </c>
      <c r="E91" s="9" t="s">
        <v>108</v>
      </c>
      <c r="F91" s="9" t="s">
        <v>119</v>
      </c>
      <c r="G91" s="9" t="s">
        <v>115</v>
      </c>
      <c r="H91" s="126">
        <f t="shared" si="3"/>
        <v>0</v>
      </c>
      <c r="I91" s="78"/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 t="s">
        <v>76</v>
      </c>
    </row>
    <row r="92" spans="1:15" s="25" customFormat="1" ht="13.5">
      <c r="A92" s="681" t="s">
        <v>125</v>
      </c>
      <c r="B92" s="683"/>
      <c r="C92" s="27" t="s">
        <v>21</v>
      </c>
      <c r="D92" s="3"/>
      <c r="E92" s="27"/>
      <c r="F92" s="3"/>
      <c r="G92" s="3"/>
      <c r="H92" s="124">
        <f>K92</f>
        <v>653340</v>
      </c>
      <c r="I92" s="98"/>
      <c r="J92" s="97"/>
      <c r="K92" s="97">
        <f>K95</f>
        <v>653340</v>
      </c>
      <c r="L92" s="110"/>
      <c r="M92" s="110"/>
      <c r="N92" s="111" t="s">
        <v>107</v>
      </c>
      <c r="O92" s="28"/>
    </row>
    <row r="93" spans="1:15" s="25" customFormat="1" ht="12.75" hidden="1">
      <c r="A93" s="22" t="s">
        <v>4</v>
      </c>
      <c r="B93" s="9"/>
      <c r="C93" s="9"/>
      <c r="D93" s="9"/>
      <c r="E93" s="9"/>
      <c r="F93" s="9" t="s">
        <v>99</v>
      </c>
      <c r="G93" s="9" t="s">
        <v>109</v>
      </c>
      <c r="H93" s="126">
        <f>I93</f>
        <v>0</v>
      </c>
      <c r="I93" s="78"/>
      <c r="J93" s="78"/>
      <c r="K93" s="116" t="s">
        <v>76</v>
      </c>
      <c r="L93" s="107" t="s">
        <v>76</v>
      </c>
      <c r="M93" s="107" t="s">
        <v>76</v>
      </c>
      <c r="N93" s="107" t="s">
        <v>76</v>
      </c>
      <c r="O93" s="6" t="s">
        <v>76</v>
      </c>
    </row>
    <row r="94" spans="1:15" s="25" customFormat="1" ht="12.75" hidden="1">
      <c r="A94" s="22" t="s">
        <v>5</v>
      </c>
      <c r="B94" s="9"/>
      <c r="C94" s="9"/>
      <c r="D94" s="9"/>
      <c r="E94" s="9"/>
      <c r="F94" s="9"/>
      <c r="G94" s="9"/>
      <c r="H94" s="126">
        <f>I94</f>
        <v>0</v>
      </c>
      <c r="I94" s="78"/>
      <c r="J94" s="78"/>
      <c r="K94" s="116" t="s">
        <v>76</v>
      </c>
      <c r="L94" s="107" t="s">
        <v>76</v>
      </c>
      <c r="M94" s="107" t="s">
        <v>76</v>
      </c>
      <c r="N94" s="107" t="s">
        <v>76</v>
      </c>
      <c r="O94" s="6" t="s">
        <v>76</v>
      </c>
    </row>
    <row r="95" spans="1:15" s="25" customFormat="1" ht="13.5">
      <c r="A95" s="22" t="s">
        <v>12</v>
      </c>
      <c r="B95" s="9"/>
      <c r="C95" s="41" t="s">
        <v>21</v>
      </c>
      <c r="D95" s="9" t="s">
        <v>89</v>
      </c>
      <c r="E95" s="9" t="s">
        <v>126</v>
      </c>
      <c r="F95" s="9" t="s">
        <v>116</v>
      </c>
      <c r="G95" s="9" t="s">
        <v>115</v>
      </c>
      <c r="H95" s="126">
        <f aca="true" t="shared" si="4" ref="H95:H105">K95</f>
        <v>653340</v>
      </c>
      <c r="I95" s="107" t="s">
        <v>76</v>
      </c>
      <c r="J95" s="78"/>
      <c r="K95" s="391">
        <f>676900-23560</f>
        <v>653340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8.75" customHeight="1" hidden="1">
      <c r="A96" s="687" t="s">
        <v>127</v>
      </c>
      <c r="B96" s="688"/>
      <c r="C96" s="27" t="s">
        <v>22</v>
      </c>
      <c r="D96" s="3"/>
      <c r="E96" s="3"/>
      <c r="F96" s="3"/>
      <c r="G96" s="3"/>
      <c r="H96" s="131">
        <f t="shared" si="4"/>
        <v>0</v>
      </c>
      <c r="I96" s="117"/>
      <c r="J96" s="110"/>
      <c r="K96" s="118">
        <f>K97</f>
        <v>0</v>
      </c>
      <c r="L96" s="117"/>
      <c r="M96" s="117"/>
      <c r="N96" s="117"/>
      <c r="O96" s="6"/>
    </row>
    <row r="97" spans="1:15" s="25" customFormat="1" ht="13.5" customHeight="1" hidden="1">
      <c r="A97" s="22" t="s">
        <v>12</v>
      </c>
      <c r="B97" s="40"/>
      <c r="C97" s="41" t="s">
        <v>22</v>
      </c>
      <c r="D97" s="9" t="s">
        <v>81</v>
      </c>
      <c r="E97" s="9" t="s">
        <v>108</v>
      </c>
      <c r="F97" s="9" t="s">
        <v>116</v>
      </c>
      <c r="G97" s="9" t="s">
        <v>115</v>
      </c>
      <c r="H97" s="126">
        <f t="shared" si="4"/>
        <v>0</v>
      </c>
      <c r="I97" s="107" t="s">
        <v>76</v>
      </c>
      <c r="J97" s="78"/>
      <c r="K97" s="116"/>
      <c r="L97" s="107"/>
      <c r="M97" s="107"/>
      <c r="N97" s="107" t="s">
        <v>76</v>
      </c>
      <c r="O97" s="6"/>
    </row>
    <row r="98" spans="1:15" s="25" customFormat="1" ht="28.5" customHeight="1">
      <c r="A98" s="39" t="s">
        <v>190</v>
      </c>
      <c r="B98" s="55"/>
      <c r="C98" s="27" t="s">
        <v>41</v>
      </c>
      <c r="D98" s="3"/>
      <c r="E98" s="3"/>
      <c r="F98" s="3"/>
      <c r="G98" s="3"/>
      <c r="H98" s="124">
        <f t="shared" si="4"/>
        <v>24000</v>
      </c>
      <c r="I98" s="119"/>
      <c r="J98" s="97"/>
      <c r="K98" s="120">
        <f>K99</f>
        <v>24000</v>
      </c>
      <c r="L98" s="117"/>
      <c r="M98" s="117"/>
      <c r="N98" s="117"/>
      <c r="O98" s="6"/>
    </row>
    <row r="99" spans="1:15" s="25" customFormat="1" ht="12.75">
      <c r="A99" s="22" t="s">
        <v>12</v>
      </c>
      <c r="B99" s="40"/>
      <c r="C99" s="9" t="s">
        <v>41</v>
      </c>
      <c r="D99" s="9" t="s">
        <v>81</v>
      </c>
      <c r="E99" s="9" t="s">
        <v>154</v>
      </c>
      <c r="F99" s="9" t="s">
        <v>116</v>
      </c>
      <c r="G99" s="9" t="s">
        <v>115</v>
      </c>
      <c r="H99" s="126">
        <f t="shared" si="4"/>
        <v>24000</v>
      </c>
      <c r="I99" s="107" t="s">
        <v>76</v>
      </c>
      <c r="J99" s="78"/>
      <c r="K99" s="116">
        <v>24000</v>
      </c>
      <c r="L99" s="107"/>
      <c r="M99" s="107"/>
      <c r="N99" s="107" t="s">
        <v>76</v>
      </c>
      <c r="O99" s="6"/>
    </row>
    <row r="100" spans="1:15" s="25" customFormat="1" ht="41.25" customHeight="1">
      <c r="A100" s="681" t="s">
        <v>334</v>
      </c>
      <c r="B100" s="683"/>
      <c r="C100" s="27" t="s">
        <v>211</v>
      </c>
      <c r="D100" s="3"/>
      <c r="E100" s="3"/>
      <c r="F100" s="3"/>
      <c r="G100" s="3"/>
      <c r="H100" s="124">
        <f t="shared" si="4"/>
        <v>140000</v>
      </c>
      <c r="I100" s="117" t="s">
        <v>76</v>
      </c>
      <c r="J100" s="110"/>
      <c r="K100" s="97">
        <f>SUM(K101:K105)</f>
        <v>140000</v>
      </c>
      <c r="L100" s="117"/>
      <c r="M100" s="117"/>
      <c r="N100" s="117" t="s">
        <v>76</v>
      </c>
      <c r="O100" s="6"/>
    </row>
    <row r="101" spans="1:15" s="25" customFormat="1" ht="12.75">
      <c r="A101" s="22" t="s">
        <v>12</v>
      </c>
      <c r="B101" s="57"/>
      <c r="C101" s="9" t="s">
        <v>204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80000</v>
      </c>
      <c r="I101" s="107" t="s">
        <v>76</v>
      </c>
      <c r="J101" s="107"/>
      <c r="K101" s="116">
        <v>80000</v>
      </c>
      <c r="L101" s="107"/>
      <c r="M101" s="107"/>
      <c r="N101" s="107" t="s">
        <v>76</v>
      </c>
      <c r="O101" s="6"/>
    </row>
    <row r="102" spans="1:15" s="25" customFormat="1" ht="12.75">
      <c r="A102" s="8" t="s">
        <v>335</v>
      </c>
      <c r="B102" s="9"/>
      <c r="C102" s="9" t="s">
        <v>211</v>
      </c>
      <c r="D102" s="393" t="s">
        <v>332</v>
      </c>
      <c r="E102" s="9" t="s">
        <v>108</v>
      </c>
      <c r="F102" s="9" t="s">
        <v>116</v>
      </c>
      <c r="G102" s="9" t="s">
        <v>115</v>
      </c>
      <c r="H102" s="126">
        <f t="shared" si="4"/>
        <v>43200</v>
      </c>
      <c r="I102" s="107" t="s">
        <v>76</v>
      </c>
      <c r="J102" s="78"/>
      <c r="K102" s="109">
        <v>43200</v>
      </c>
      <c r="L102" s="107"/>
      <c r="M102" s="107"/>
      <c r="N102" s="107" t="s">
        <v>76</v>
      </c>
      <c r="O102" s="64" t="s">
        <v>76</v>
      </c>
    </row>
    <row r="103" spans="1:15" s="25" customFormat="1" ht="12.75">
      <c r="A103" s="8" t="s">
        <v>336</v>
      </c>
      <c r="B103" s="9"/>
      <c r="C103" s="9" t="s">
        <v>211</v>
      </c>
      <c r="D103" s="393" t="s">
        <v>214</v>
      </c>
      <c r="E103" s="9" t="s">
        <v>108</v>
      </c>
      <c r="F103" s="9" t="s">
        <v>116</v>
      </c>
      <c r="G103" s="9" t="s">
        <v>115</v>
      </c>
      <c r="H103" s="126">
        <f t="shared" si="4"/>
        <v>4800</v>
      </c>
      <c r="I103" s="107" t="s">
        <v>76</v>
      </c>
      <c r="J103" s="78"/>
      <c r="K103" s="78">
        <v>4800</v>
      </c>
      <c r="L103" s="107"/>
      <c r="M103" s="107"/>
      <c r="N103" s="107" t="s">
        <v>76</v>
      </c>
      <c r="O103" s="6"/>
    </row>
    <row r="104" spans="1:15" s="25" customFormat="1" ht="12.75">
      <c r="A104" s="8" t="s">
        <v>336</v>
      </c>
      <c r="B104" s="9"/>
      <c r="C104" s="9" t="s">
        <v>211</v>
      </c>
      <c r="D104" s="393" t="s">
        <v>333</v>
      </c>
      <c r="E104" s="9" t="s">
        <v>108</v>
      </c>
      <c r="F104" s="9" t="s">
        <v>116</v>
      </c>
      <c r="G104" s="9" t="s">
        <v>115</v>
      </c>
      <c r="H104" s="126">
        <f t="shared" si="4"/>
        <v>10800</v>
      </c>
      <c r="I104" s="107" t="s">
        <v>76</v>
      </c>
      <c r="J104" s="78"/>
      <c r="K104" s="78">
        <v>10800</v>
      </c>
      <c r="L104" s="107"/>
      <c r="M104" s="107"/>
      <c r="N104" s="107" t="s">
        <v>76</v>
      </c>
      <c r="O104" s="6"/>
    </row>
    <row r="105" spans="1:15" s="25" customFormat="1" ht="12.75">
      <c r="A105" s="8" t="s">
        <v>337</v>
      </c>
      <c r="B105" s="9"/>
      <c r="C105" s="9" t="s">
        <v>211</v>
      </c>
      <c r="D105" s="393" t="s">
        <v>216</v>
      </c>
      <c r="E105" s="9" t="s">
        <v>108</v>
      </c>
      <c r="F105" s="9" t="s">
        <v>116</v>
      </c>
      <c r="G105" s="9" t="s">
        <v>115</v>
      </c>
      <c r="H105" s="126">
        <f t="shared" si="4"/>
        <v>1200</v>
      </c>
      <c r="I105" s="107" t="s">
        <v>76</v>
      </c>
      <c r="J105" s="78"/>
      <c r="K105" s="78">
        <v>1200</v>
      </c>
      <c r="L105" s="107"/>
      <c r="M105" s="107"/>
      <c r="N105" s="107" t="s">
        <v>76</v>
      </c>
      <c r="O105" s="6"/>
    </row>
    <row r="106" spans="1:15" s="25" customFormat="1" ht="41.25" customHeight="1">
      <c r="A106" s="681" t="s">
        <v>360</v>
      </c>
      <c r="B106" s="683"/>
      <c r="C106" s="27" t="s">
        <v>51</v>
      </c>
      <c r="D106" s="43"/>
      <c r="E106" s="42"/>
      <c r="F106" s="42"/>
      <c r="G106" s="42"/>
      <c r="H106" s="124"/>
      <c r="I106" s="119"/>
      <c r="J106" s="97"/>
      <c r="K106" s="120">
        <f>SUM(K108:K116)</f>
        <v>359624.7</v>
      </c>
      <c r="L106" s="119"/>
      <c r="M106" s="119"/>
      <c r="N106" s="119"/>
      <c r="O106" s="6"/>
    </row>
    <row r="107" spans="1:15" s="25" customFormat="1" ht="12.75" hidden="1">
      <c r="A107" s="61" t="s">
        <v>11</v>
      </c>
      <c r="B107" s="59"/>
      <c r="C107" s="59" t="s">
        <v>51</v>
      </c>
      <c r="D107" s="59" t="s">
        <v>81</v>
      </c>
      <c r="E107" s="59" t="s">
        <v>218</v>
      </c>
      <c r="F107" s="59" t="s">
        <v>121</v>
      </c>
      <c r="G107" s="59" t="s">
        <v>115</v>
      </c>
      <c r="H107" s="127">
        <f aca="true" t="shared" si="5" ref="H107:H116">K107</f>
        <v>0</v>
      </c>
      <c r="I107" s="101" t="s">
        <v>76</v>
      </c>
      <c r="J107" s="102"/>
      <c r="K107" s="104"/>
      <c r="L107" s="102"/>
      <c r="M107" s="100"/>
      <c r="N107" s="101" t="s">
        <v>76</v>
      </c>
      <c r="O107" s="6"/>
    </row>
    <row r="108" spans="1:15" s="25" customFormat="1" ht="12.75">
      <c r="A108" s="727" t="s">
        <v>12</v>
      </c>
      <c r="B108" s="313"/>
      <c r="C108" s="731" t="s">
        <v>51</v>
      </c>
      <c r="D108" s="313" t="s">
        <v>81</v>
      </c>
      <c r="E108" s="731" t="s">
        <v>218</v>
      </c>
      <c r="F108" s="731" t="s">
        <v>116</v>
      </c>
      <c r="G108" s="731" t="s">
        <v>115</v>
      </c>
      <c r="H108" s="314">
        <f t="shared" si="5"/>
        <v>195152.7</v>
      </c>
      <c r="I108" s="315" t="s">
        <v>76</v>
      </c>
      <c r="J108" s="107"/>
      <c r="K108" s="316">
        <v>195152.7</v>
      </c>
      <c r="L108" s="101"/>
      <c r="M108" s="101"/>
      <c r="N108" s="315" t="s">
        <v>76</v>
      </c>
      <c r="O108" s="6"/>
    </row>
    <row r="109" spans="1:15" s="25" customFormat="1" ht="12.75">
      <c r="A109" s="734"/>
      <c r="B109" s="313"/>
      <c r="C109" s="732"/>
      <c r="D109" s="313" t="s">
        <v>219</v>
      </c>
      <c r="E109" s="732"/>
      <c r="F109" s="732"/>
      <c r="G109" s="732"/>
      <c r="H109" s="314">
        <f t="shared" si="5"/>
        <v>148024.8</v>
      </c>
      <c r="I109" s="315" t="s">
        <v>76</v>
      </c>
      <c r="J109" s="107"/>
      <c r="K109" s="316">
        <v>148024.8</v>
      </c>
      <c r="L109" s="101"/>
      <c r="M109" s="101"/>
      <c r="N109" s="315" t="s">
        <v>76</v>
      </c>
      <c r="O109" s="6"/>
    </row>
    <row r="110" spans="1:15" s="25" customFormat="1" ht="12.75">
      <c r="A110" s="728"/>
      <c r="B110" s="313"/>
      <c r="C110" s="733"/>
      <c r="D110" s="313" t="s">
        <v>196</v>
      </c>
      <c r="E110" s="733"/>
      <c r="F110" s="733"/>
      <c r="G110" s="733"/>
      <c r="H110" s="314">
        <f t="shared" si="5"/>
        <v>7593.6</v>
      </c>
      <c r="I110" s="315"/>
      <c r="J110" s="107"/>
      <c r="K110" s="316">
        <v>7593.6</v>
      </c>
      <c r="L110" s="101"/>
      <c r="M110" s="101"/>
      <c r="N110" s="315" t="s">
        <v>76</v>
      </c>
      <c r="O110" s="6"/>
    </row>
    <row r="111" spans="1:15" s="25" customFormat="1" ht="12.75">
      <c r="A111" s="417" t="s">
        <v>362</v>
      </c>
      <c r="B111" s="313"/>
      <c r="C111" s="313" t="s">
        <v>51</v>
      </c>
      <c r="D111" s="313" t="s">
        <v>196</v>
      </c>
      <c r="E111" s="313" t="s">
        <v>218</v>
      </c>
      <c r="F111" s="313" t="s">
        <v>361</v>
      </c>
      <c r="G111" s="313" t="s">
        <v>115</v>
      </c>
      <c r="H111" s="314">
        <f t="shared" si="5"/>
        <v>2272.2</v>
      </c>
      <c r="I111" s="315"/>
      <c r="J111" s="107"/>
      <c r="K111" s="316">
        <v>2272.2</v>
      </c>
      <c r="L111" s="101"/>
      <c r="M111" s="101"/>
      <c r="N111" s="315" t="s">
        <v>76</v>
      </c>
      <c r="O111" s="6"/>
    </row>
    <row r="112" spans="1:15" s="25" customFormat="1" ht="39.75" customHeight="1">
      <c r="A112" s="417" t="s">
        <v>363</v>
      </c>
      <c r="B112" s="313"/>
      <c r="C112" s="313" t="s">
        <v>51</v>
      </c>
      <c r="D112" s="313" t="s">
        <v>196</v>
      </c>
      <c r="E112" s="313" t="s">
        <v>218</v>
      </c>
      <c r="F112" s="313" t="s">
        <v>240</v>
      </c>
      <c r="G112" s="313" t="s">
        <v>115</v>
      </c>
      <c r="H112" s="314">
        <f t="shared" si="5"/>
        <v>2625</v>
      </c>
      <c r="I112" s="315"/>
      <c r="J112" s="107"/>
      <c r="K112" s="316">
        <v>2625</v>
      </c>
      <c r="L112" s="101"/>
      <c r="M112" s="101"/>
      <c r="N112" s="315" t="s">
        <v>76</v>
      </c>
      <c r="O112" s="6"/>
    </row>
    <row r="113" spans="1:15" s="25" customFormat="1" ht="28.5" customHeight="1">
      <c r="A113" s="417" t="s">
        <v>364</v>
      </c>
      <c r="B113" s="313"/>
      <c r="C113" s="313" t="s">
        <v>51</v>
      </c>
      <c r="D113" s="313" t="s">
        <v>196</v>
      </c>
      <c r="E113" s="313" t="s">
        <v>218</v>
      </c>
      <c r="F113" s="313" t="s">
        <v>242</v>
      </c>
      <c r="G113" s="313" t="s">
        <v>115</v>
      </c>
      <c r="H113" s="314">
        <f t="shared" si="5"/>
        <v>3956.4</v>
      </c>
      <c r="I113" s="315"/>
      <c r="J113" s="107"/>
      <c r="K113" s="316">
        <v>3956.4</v>
      </c>
      <c r="L113" s="101"/>
      <c r="M113" s="101"/>
      <c r="N113" s="315" t="s">
        <v>76</v>
      </c>
      <c r="O113" s="6"/>
    </row>
    <row r="114" spans="1:15" s="25" customFormat="1" ht="12.75" hidden="1">
      <c r="A114" s="22" t="s">
        <v>359</v>
      </c>
      <c r="B114" s="9"/>
      <c r="C114" s="9" t="s">
        <v>51</v>
      </c>
      <c r="D114" s="9" t="s">
        <v>81</v>
      </c>
      <c r="E114" s="9" t="s">
        <v>218</v>
      </c>
      <c r="F114" s="9" t="s">
        <v>118</v>
      </c>
      <c r="G114" s="9" t="s">
        <v>115</v>
      </c>
      <c r="H114" s="126">
        <f>K114</f>
        <v>0</v>
      </c>
      <c r="I114" s="107" t="s">
        <v>76</v>
      </c>
      <c r="J114" s="107"/>
      <c r="K114" s="116"/>
      <c r="L114" s="101"/>
      <c r="M114" s="101"/>
      <c r="N114" s="101" t="s">
        <v>76</v>
      </c>
      <c r="O114" s="6"/>
    </row>
    <row r="115" spans="1:15" s="25" customFormat="1" ht="12.75" hidden="1">
      <c r="A115" s="684" t="s">
        <v>221</v>
      </c>
      <c r="B115" s="9"/>
      <c r="C115" s="678" t="s">
        <v>51</v>
      </c>
      <c r="D115" s="9" t="s">
        <v>81</v>
      </c>
      <c r="E115" s="678" t="s">
        <v>218</v>
      </c>
      <c r="F115" s="678" t="s">
        <v>119</v>
      </c>
      <c r="G115" s="678" t="s">
        <v>115</v>
      </c>
      <c r="H115" s="126">
        <f t="shared" si="5"/>
        <v>0</v>
      </c>
      <c r="I115" s="107" t="s">
        <v>76</v>
      </c>
      <c r="J115" s="107"/>
      <c r="K115" s="116"/>
      <c r="L115" s="101"/>
      <c r="M115" s="101"/>
      <c r="N115" s="101" t="s">
        <v>76</v>
      </c>
      <c r="O115" s="6"/>
    </row>
    <row r="116" spans="1:15" s="25" customFormat="1" ht="12.75" hidden="1">
      <c r="A116" s="686"/>
      <c r="B116" s="9"/>
      <c r="C116" s="680"/>
      <c r="D116" s="9" t="s">
        <v>196</v>
      </c>
      <c r="E116" s="680"/>
      <c r="F116" s="680"/>
      <c r="G116" s="680"/>
      <c r="H116" s="126">
        <f t="shared" si="5"/>
        <v>0</v>
      </c>
      <c r="I116" s="107" t="s">
        <v>76</v>
      </c>
      <c r="J116" s="107"/>
      <c r="K116" s="116"/>
      <c r="L116" s="101"/>
      <c r="M116" s="101"/>
      <c r="N116" s="101" t="s">
        <v>76</v>
      </c>
      <c r="O116" s="6"/>
    </row>
    <row r="117" spans="1:15" s="25" customFormat="1" ht="15" customHeight="1">
      <c r="A117" s="681" t="s">
        <v>210</v>
      </c>
      <c r="B117" s="683"/>
      <c r="C117" s="27" t="s">
        <v>163</v>
      </c>
      <c r="D117" s="44"/>
      <c r="E117" s="3"/>
      <c r="F117" s="3"/>
      <c r="G117" s="3"/>
      <c r="H117" s="131"/>
      <c r="I117" s="117"/>
      <c r="J117" s="110"/>
      <c r="K117" s="120">
        <f>K118+K119</f>
        <v>950000</v>
      </c>
      <c r="L117" s="117"/>
      <c r="M117" s="117"/>
      <c r="N117" s="117"/>
      <c r="O117" s="6"/>
    </row>
    <row r="118" spans="1:15" s="25" customFormat="1" ht="15.75" customHeight="1">
      <c r="A118" s="22" t="s">
        <v>11</v>
      </c>
      <c r="B118" s="40"/>
      <c r="C118" s="41" t="s">
        <v>163</v>
      </c>
      <c r="D118" s="6" t="s">
        <v>162</v>
      </c>
      <c r="E118" s="9" t="s">
        <v>157</v>
      </c>
      <c r="F118" s="46">
        <v>225</v>
      </c>
      <c r="G118" s="9" t="s">
        <v>115</v>
      </c>
      <c r="H118" s="129" t="s">
        <v>76</v>
      </c>
      <c r="I118" s="107" t="s">
        <v>76</v>
      </c>
      <c r="J118" s="78"/>
      <c r="K118" s="116">
        <v>950000</v>
      </c>
      <c r="L118" s="107"/>
      <c r="M118" s="107"/>
      <c r="N118" s="107" t="s">
        <v>76</v>
      </c>
      <c r="O118" s="6"/>
    </row>
    <row r="119" spans="1:15" s="25" customFormat="1" ht="13.5" hidden="1">
      <c r="A119" s="47" t="s">
        <v>14</v>
      </c>
      <c r="B119" s="40"/>
      <c r="C119" s="41" t="s">
        <v>163</v>
      </c>
      <c r="D119" s="6" t="s">
        <v>162</v>
      </c>
      <c r="E119" s="9" t="s">
        <v>157</v>
      </c>
      <c r="F119" s="9" t="s">
        <v>118</v>
      </c>
      <c r="G119" s="9" t="s">
        <v>115</v>
      </c>
      <c r="H119" s="126"/>
      <c r="I119" s="107"/>
      <c r="J119" s="78"/>
      <c r="K119" s="116"/>
      <c r="L119" s="107"/>
      <c r="M119" s="107"/>
      <c r="N119" s="107"/>
      <c r="O119" s="6"/>
    </row>
    <row r="120" spans="1:15" s="25" customFormat="1" ht="15" customHeight="1" hidden="1">
      <c r="A120" s="681" t="s">
        <v>177</v>
      </c>
      <c r="B120" s="683"/>
      <c r="C120" s="27" t="s">
        <v>23</v>
      </c>
      <c r="D120" s="44"/>
      <c r="E120" s="3"/>
      <c r="F120" s="3"/>
      <c r="G120" s="3"/>
      <c r="H120" s="131"/>
      <c r="I120" s="117"/>
      <c r="J120" s="110"/>
      <c r="K120" s="118">
        <f>K121</f>
        <v>0</v>
      </c>
      <c r="L120" s="117"/>
      <c r="M120" s="117"/>
      <c r="N120" s="117"/>
      <c r="O120" s="6"/>
    </row>
    <row r="121" spans="1:15" s="25" customFormat="1" ht="15" customHeight="1" hidden="1">
      <c r="A121" s="22" t="s">
        <v>178</v>
      </c>
      <c r="B121" s="9"/>
      <c r="C121" s="9" t="s">
        <v>23</v>
      </c>
      <c r="D121" s="9" t="s">
        <v>81</v>
      </c>
      <c r="E121" s="9" t="s">
        <v>108</v>
      </c>
      <c r="F121" s="9" t="s">
        <v>116</v>
      </c>
      <c r="G121" s="9" t="s">
        <v>115</v>
      </c>
      <c r="H121" s="126"/>
      <c r="I121" s="107"/>
      <c r="J121" s="78"/>
      <c r="K121" s="116"/>
      <c r="L121" s="107"/>
      <c r="M121" s="107"/>
      <c r="N121" s="107"/>
      <c r="O121" s="6"/>
    </row>
    <row r="122" spans="1:15" s="25" customFormat="1" ht="29.25" customHeight="1" hidden="1">
      <c r="A122" s="681" t="s">
        <v>191</v>
      </c>
      <c r="B122" s="683"/>
      <c r="C122" s="27" t="s">
        <v>192</v>
      </c>
      <c r="D122" s="3"/>
      <c r="E122" s="3"/>
      <c r="F122" s="3"/>
      <c r="G122" s="3"/>
      <c r="H122" s="124">
        <f aca="true" t="shared" si="6" ref="H122:H128">K122</f>
        <v>0</v>
      </c>
      <c r="I122" s="119"/>
      <c r="J122" s="97"/>
      <c r="K122" s="97">
        <f>K123+K124</f>
        <v>0</v>
      </c>
      <c r="L122" s="117"/>
      <c r="M122" s="117"/>
      <c r="N122" s="117"/>
      <c r="O122" s="6"/>
    </row>
    <row r="123" spans="1:15" s="25" customFormat="1" ht="16.5" customHeight="1" hidden="1">
      <c r="A123" s="61" t="s">
        <v>195</v>
      </c>
      <c r="B123" s="67"/>
      <c r="C123" s="59" t="s">
        <v>192</v>
      </c>
      <c r="D123" s="59" t="s">
        <v>193</v>
      </c>
      <c r="E123" s="59" t="s">
        <v>108</v>
      </c>
      <c r="F123" s="59" t="s">
        <v>121</v>
      </c>
      <c r="G123" s="59" t="s">
        <v>194</v>
      </c>
      <c r="H123" s="127">
        <f t="shared" si="6"/>
        <v>0</v>
      </c>
      <c r="I123" s="101" t="s">
        <v>76</v>
      </c>
      <c r="J123" s="100"/>
      <c r="K123" s="104"/>
      <c r="L123" s="101"/>
      <c r="M123" s="101"/>
      <c r="N123" s="101" t="s">
        <v>76</v>
      </c>
      <c r="O123" s="6"/>
    </row>
    <row r="124" spans="1:15" s="25" customFormat="1" ht="16.5" customHeight="1" hidden="1">
      <c r="A124" s="61" t="s">
        <v>195</v>
      </c>
      <c r="B124" s="68"/>
      <c r="C124" s="59" t="s">
        <v>192</v>
      </c>
      <c r="D124" s="59" t="s">
        <v>196</v>
      </c>
      <c r="E124" s="59" t="s">
        <v>108</v>
      </c>
      <c r="F124" s="59" t="s">
        <v>121</v>
      </c>
      <c r="G124" s="59" t="s">
        <v>194</v>
      </c>
      <c r="H124" s="127">
        <f t="shared" si="6"/>
        <v>0</v>
      </c>
      <c r="I124" s="101" t="s">
        <v>76</v>
      </c>
      <c r="J124" s="100"/>
      <c r="K124" s="104"/>
      <c r="L124" s="101"/>
      <c r="M124" s="101"/>
      <c r="N124" s="101" t="s">
        <v>76</v>
      </c>
      <c r="O124" s="6"/>
    </row>
    <row r="125" spans="1:15" s="25" customFormat="1" ht="16.5" customHeight="1">
      <c r="A125" s="39" t="s">
        <v>222</v>
      </c>
      <c r="B125" s="38"/>
      <c r="C125" s="27" t="s">
        <v>203</v>
      </c>
      <c r="D125" s="3"/>
      <c r="E125" s="3"/>
      <c r="F125" s="3"/>
      <c r="G125" s="3"/>
      <c r="H125" s="124">
        <f t="shared" si="6"/>
        <v>10000</v>
      </c>
      <c r="I125" s="117" t="s">
        <v>76</v>
      </c>
      <c r="J125" s="110"/>
      <c r="K125" s="120">
        <f>K126</f>
        <v>10000</v>
      </c>
      <c r="L125" s="117"/>
      <c r="M125" s="117"/>
      <c r="N125" s="117" t="s">
        <v>76</v>
      </c>
      <c r="O125" s="6"/>
    </row>
    <row r="126" spans="1:15" s="25" customFormat="1" ht="24" customHeight="1">
      <c r="A126" s="22" t="s">
        <v>236</v>
      </c>
      <c r="B126" s="40"/>
      <c r="C126" s="9" t="s">
        <v>203</v>
      </c>
      <c r="D126" s="9" t="s">
        <v>81</v>
      </c>
      <c r="E126" s="9" t="s">
        <v>108</v>
      </c>
      <c r="F126" s="9" t="s">
        <v>205</v>
      </c>
      <c r="G126" s="9" t="s">
        <v>123</v>
      </c>
      <c r="H126" s="126">
        <f t="shared" si="6"/>
        <v>10000</v>
      </c>
      <c r="I126" s="107" t="s">
        <v>76</v>
      </c>
      <c r="J126" s="78"/>
      <c r="K126" s="121">
        <v>10000</v>
      </c>
      <c r="L126" s="107"/>
      <c r="M126" s="107"/>
      <c r="N126" s="107" t="s">
        <v>76</v>
      </c>
      <c r="O126" s="6"/>
    </row>
    <row r="127" spans="1:15" s="25" customFormat="1" ht="12.75" hidden="1">
      <c r="A127" s="75" t="s">
        <v>226</v>
      </c>
      <c r="B127" s="58"/>
      <c r="C127" s="42" t="s">
        <v>23</v>
      </c>
      <c r="D127" s="42"/>
      <c r="E127" s="42"/>
      <c r="F127" s="42"/>
      <c r="G127" s="42"/>
      <c r="H127" s="125">
        <f t="shared" si="6"/>
        <v>0</v>
      </c>
      <c r="I127" s="119"/>
      <c r="J127" s="98"/>
      <c r="K127" s="97">
        <f>K128</f>
        <v>0</v>
      </c>
      <c r="L127" s="119"/>
      <c r="M127" s="119"/>
      <c r="N127" s="119"/>
      <c r="O127" s="6"/>
    </row>
    <row r="128" spans="1:15" s="25" customFormat="1" ht="12.75" hidden="1">
      <c r="A128" s="76" t="s">
        <v>227</v>
      </c>
      <c r="B128" s="57"/>
      <c r="C128" s="9" t="s">
        <v>23</v>
      </c>
      <c r="D128" s="9" t="s">
        <v>228</v>
      </c>
      <c r="E128" s="9" t="s">
        <v>157</v>
      </c>
      <c r="F128" s="9" t="s">
        <v>116</v>
      </c>
      <c r="G128" s="9" t="s">
        <v>115</v>
      </c>
      <c r="H128" s="129">
        <f t="shared" si="6"/>
        <v>0</v>
      </c>
      <c r="I128" s="107"/>
      <c r="J128" s="26"/>
      <c r="K128" s="78"/>
      <c r="L128" s="107"/>
      <c r="M128" s="107"/>
      <c r="N128" s="107"/>
      <c r="O128" s="6"/>
    </row>
    <row r="129" spans="1:15" s="25" customFormat="1" ht="12.75" hidden="1">
      <c r="A129" s="77" t="s">
        <v>231</v>
      </c>
      <c r="B129" s="58"/>
      <c r="C129" s="87" t="s">
        <v>230</v>
      </c>
      <c r="D129" s="53"/>
      <c r="E129" s="53"/>
      <c r="F129" s="53"/>
      <c r="G129" s="53"/>
      <c r="H129" s="124">
        <f>K129</f>
        <v>0</v>
      </c>
      <c r="I129" s="119"/>
      <c r="J129" s="97"/>
      <c r="K129" s="98">
        <f>K130</f>
        <v>0</v>
      </c>
      <c r="L129" s="119"/>
      <c r="M129" s="119"/>
      <c r="N129" s="119"/>
      <c r="O129" s="6"/>
    </row>
    <row r="130" spans="1:15" s="25" customFormat="1" ht="12.75" hidden="1">
      <c r="A130" s="22" t="s">
        <v>227</v>
      </c>
      <c r="B130" s="57"/>
      <c r="C130" s="9" t="s">
        <v>230</v>
      </c>
      <c r="D130" s="9" t="s">
        <v>81</v>
      </c>
      <c r="E130" s="9" t="s">
        <v>232</v>
      </c>
      <c r="F130" s="9" t="s">
        <v>116</v>
      </c>
      <c r="G130" s="9" t="s">
        <v>115</v>
      </c>
      <c r="H130" s="126">
        <f>K130</f>
        <v>0</v>
      </c>
      <c r="I130" s="107"/>
      <c r="J130" s="78"/>
      <c r="K130" s="26"/>
      <c r="L130" s="107"/>
      <c r="M130" s="107"/>
      <c r="N130" s="107"/>
      <c r="O130" s="6"/>
    </row>
    <row r="131" spans="1:15" s="25" customFormat="1" ht="29.25" customHeight="1">
      <c r="A131" s="681" t="s">
        <v>224</v>
      </c>
      <c r="B131" s="682"/>
      <c r="C131" s="27" t="s">
        <v>80</v>
      </c>
      <c r="D131" s="3"/>
      <c r="E131" s="3"/>
      <c r="F131" s="3"/>
      <c r="G131" s="3"/>
      <c r="H131" s="124">
        <f>N131</f>
        <v>99500.00000000001</v>
      </c>
      <c r="I131" s="119"/>
      <c r="J131" s="119"/>
      <c r="K131" s="119"/>
      <c r="L131" s="119"/>
      <c r="M131" s="119"/>
      <c r="N131" s="97">
        <f>SUM(N132:N141)</f>
        <v>99500.00000000001</v>
      </c>
      <c r="O131" s="6"/>
    </row>
    <row r="132" spans="1:15" s="25" customFormat="1" ht="13.5" customHeight="1" hidden="1">
      <c r="A132" s="45" t="s">
        <v>8</v>
      </c>
      <c r="B132" s="8"/>
      <c r="C132" s="9" t="s">
        <v>80</v>
      </c>
      <c r="D132" s="9" t="s">
        <v>81</v>
      </c>
      <c r="E132" s="9" t="s">
        <v>108</v>
      </c>
      <c r="F132" s="9" t="s">
        <v>128</v>
      </c>
      <c r="G132" s="9" t="s">
        <v>115</v>
      </c>
      <c r="H132" s="126">
        <f aca="true" t="shared" si="7" ref="H132:H139">N132</f>
        <v>0</v>
      </c>
      <c r="I132" s="107" t="s">
        <v>76</v>
      </c>
      <c r="J132" s="107" t="s">
        <v>76</v>
      </c>
      <c r="K132" s="107" t="s">
        <v>76</v>
      </c>
      <c r="L132" s="107" t="s">
        <v>76</v>
      </c>
      <c r="M132" s="107"/>
      <c r="N132" s="122"/>
      <c r="O132" s="6"/>
    </row>
    <row r="133" spans="1:15" s="25" customFormat="1" ht="13.5" customHeight="1" hidden="1">
      <c r="A133" s="22" t="s">
        <v>11</v>
      </c>
      <c r="B133" s="9"/>
      <c r="C133" s="9" t="s">
        <v>80</v>
      </c>
      <c r="D133" s="9" t="s">
        <v>81</v>
      </c>
      <c r="E133" s="9" t="s">
        <v>108</v>
      </c>
      <c r="F133" s="9" t="s">
        <v>121</v>
      </c>
      <c r="G133" s="9" t="s">
        <v>115</v>
      </c>
      <c r="H133" s="126">
        <f t="shared" si="7"/>
        <v>0</v>
      </c>
      <c r="I133" s="107" t="s">
        <v>76</v>
      </c>
      <c r="J133" s="107" t="s">
        <v>76</v>
      </c>
      <c r="K133" s="107" t="s">
        <v>76</v>
      </c>
      <c r="L133" s="107" t="s">
        <v>76</v>
      </c>
      <c r="M133" s="107"/>
      <c r="N133" s="122"/>
      <c r="O133" s="6"/>
    </row>
    <row r="134" spans="1:15" s="25" customFormat="1" ht="13.5" customHeight="1">
      <c r="A134" s="311" t="s">
        <v>11</v>
      </c>
      <c r="B134" s="313"/>
      <c r="C134" s="313" t="s">
        <v>80</v>
      </c>
      <c r="D134" s="313" t="s">
        <v>81</v>
      </c>
      <c r="E134" s="313" t="s">
        <v>218</v>
      </c>
      <c r="F134" s="313" t="s">
        <v>121</v>
      </c>
      <c r="G134" s="313" t="s">
        <v>115</v>
      </c>
      <c r="H134" s="314">
        <f>N134</f>
        <v>2815.2</v>
      </c>
      <c r="I134" s="315" t="s">
        <v>76</v>
      </c>
      <c r="J134" s="315" t="s">
        <v>76</v>
      </c>
      <c r="K134" s="315" t="s">
        <v>76</v>
      </c>
      <c r="L134" s="315" t="s">
        <v>76</v>
      </c>
      <c r="M134" s="315" t="s">
        <v>76</v>
      </c>
      <c r="N134" s="309">
        <v>2815.2</v>
      </c>
      <c r="O134" s="6"/>
    </row>
    <row r="135" spans="1:15" s="25" customFormat="1" ht="13.5" customHeight="1">
      <c r="A135" s="311" t="s">
        <v>12</v>
      </c>
      <c r="B135" s="313"/>
      <c r="C135" s="313" t="s">
        <v>80</v>
      </c>
      <c r="D135" s="313" t="s">
        <v>81</v>
      </c>
      <c r="E135" s="313" t="s">
        <v>218</v>
      </c>
      <c r="F135" s="313" t="s">
        <v>116</v>
      </c>
      <c r="G135" s="313" t="s">
        <v>115</v>
      </c>
      <c r="H135" s="314">
        <f t="shared" si="7"/>
        <v>13427.57</v>
      </c>
      <c r="I135" s="315" t="s">
        <v>76</v>
      </c>
      <c r="J135" s="315"/>
      <c r="K135" s="315" t="s">
        <v>76</v>
      </c>
      <c r="L135" s="315" t="s">
        <v>76</v>
      </c>
      <c r="M135" s="315"/>
      <c r="N135" s="420">
        <v>13427.57</v>
      </c>
      <c r="O135" s="6"/>
    </row>
    <row r="136" spans="1:15" s="25" customFormat="1" ht="13.5" customHeight="1">
      <c r="A136" s="311" t="s">
        <v>362</v>
      </c>
      <c r="B136" s="313"/>
      <c r="C136" s="313" t="s">
        <v>80</v>
      </c>
      <c r="D136" s="313" t="s">
        <v>81</v>
      </c>
      <c r="E136" s="313" t="s">
        <v>218</v>
      </c>
      <c r="F136" s="313" t="s">
        <v>361</v>
      </c>
      <c r="G136" s="313" t="s">
        <v>115</v>
      </c>
      <c r="H136" s="314">
        <f t="shared" si="7"/>
        <v>3408.3</v>
      </c>
      <c r="I136" s="315"/>
      <c r="J136" s="315"/>
      <c r="K136" s="315"/>
      <c r="L136" s="315"/>
      <c r="M136" s="315"/>
      <c r="N136" s="420">
        <v>3408.3</v>
      </c>
      <c r="O136" s="6"/>
    </row>
    <row r="137" spans="1:15" s="25" customFormat="1" ht="13.5" customHeight="1">
      <c r="A137" s="22" t="s">
        <v>12</v>
      </c>
      <c r="B137" s="9"/>
      <c r="C137" s="9" t="s">
        <v>80</v>
      </c>
      <c r="D137" s="9" t="s">
        <v>81</v>
      </c>
      <c r="E137" s="9" t="s">
        <v>108</v>
      </c>
      <c r="F137" s="9" t="s">
        <v>116</v>
      </c>
      <c r="G137" s="9" t="s">
        <v>115</v>
      </c>
      <c r="H137" s="126">
        <f>N137</f>
        <v>30000</v>
      </c>
      <c r="I137" s="107" t="s">
        <v>76</v>
      </c>
      <c r="J137" s="107" t="s">
        <v>76</v>
      </c>
      <c r="K137" s="107" t="s">
        <v>76</v>
      </c>
      <c r="L137" s="107" t="s">
        <v>76</v>
      </c>
      <c r="M137" s="107" t="s">
        <v>76</v>
      </c>
      <c r="N137" s="78">
        <v>30000</v>
      </c>
      <c r="O137" s="6"/>
    </row>
    <row r="138" spans="1:15" s="25" customFormat="1" ht="13.5" customHeight="1">
      <c r="A138" s="22" t="s">
        <v>14</v>
      </c>
      <c r="B138" s="9"/>
      <c r="C138" s="9" t="s">
        <v>80</v>
      </c>
      <c r="D138" s="9" t="s">
        <v>81</v>
      </c>
      <c r="E138" s="9" t="s">
        <v>108</v>
      </c>
      <c r="F138" s="9" t="s">
        <v>118</v>
      </c>
      <c r="G138" s="9" t="s">
        <v>115</v>
      </c>
      <c r="H138" s="126">
        <f t="shared" si="7"/>
        <v>35000</v>
      </c>
      <c r="I138" s="107" t="s">
        <v>76</v>
      </c>
      <c r="J138" s="107" t="s">
        <v>76</v>
      </c>
      <c r="K138" s="107" t="s">
        <v>76</v>
      </c>
      <c r="L138" s="107" t="s">
        <v>76</v>
      </c>
      <c r="M138" s="107"/>
      <c r="N138" s="122">
        <v>35000</v>
      </c>
      <c r="O138" s="6"/>
    </row>
    <row r="139" spans="1:15" s="25" customFormat="1" ht="39" customHeight="1">
      <c r="A139" s="311" t="s">
        <v>363</v>
      </c>
      <c r="B139" s="313"/>
      <c r="C139" s="313" t="s">
        <v>80</v>
      </c>
      <c r="D139" s="313" t="s">
        <v>81</v>
      </c>
      <c r="E139" s="313" t="s">
        <v>218</v>
      </c>
      <c r="F139" s="313" t="s">
        <v>240</v>
      </c>
      <c r="G139" s="313" t="s">
        <v>115</v>
      </c>
      <c r="H139" s="314">
        <f t="shared" si="7"/>
        <v>3937.5</v>
      </c>
      <c r="I139" s="315" t="s">
        <v>76</v>
      </c>
      <c r="J139" s="315"/>
      <c r="K139" s="315" t="s">
        <v>76</v>
      </c>
      <c r="L139" s="315" t="s">
        <v>76</v>
      </c>
      <c r="M139" s="315"/>
      <c r="N139" s="421">
        <v>3937.5</v>
      </c>
      <c r="O139" s="6"/>
    </row>
    <row r="140" spans="1:15" s="25" customFormat="1" ht="30.75" customHeight="1">
      <c r="A140" s="417" t="s">
        <v>364</v>
      </c>
      <c r="B140" s="422"/>
      <c r="C140" s="313" t="s">
        <v>80</v>
      </c>
      <c r="D140" s="313" t="s">
        <v>81</v>
      </c>
      <c r="E140" s="313" t="s">
        <v>218</v>
      </c>
      <c r="F140" s="313" t="s">
        <v>242</v>
      </c>
      <c r="G140" s="313" t="s">
        <v>115</v>
      </c>
      <c r="H140" s="314">
        <f>N140</f>
        <v>7087.63</v>
      </c>
      <c r="I140" s="315" t="s">
        <v>76</v>
      </c>
      <c r="J140" s="423"/>
      <c r="K140" s="315" t="s">
        <v>76</v>
      </c>
      <c r="L140" s="423"/>
      <c r="M140" s="423"/>
      <c r="N140" s="309">
        <v>7087.63</v>
      </c>
      <c r="O140" s="6"/>
    </row>
    <row r="141" spans="1:15" s="25" customFormat="1" ht="30.75" customHeight="1">
      <c r="A141" s="417" t="s">
        <v>243</v>
      </c>
      <c r="B141" s="422"/>
      <c r="C141" s="313" t="s">
        <v>80</v>
      </c>
      <c r="D141" s="313" t="s">
        <v>81</v>
      </c>
      <c r="E141" s="313" t="s">
        <v>218</v>
      </c>
      <c r="F141" s="313" t="s">
        <v>244</v>
      </c>
      <c r="G141" s="313" t="s">
        <v>115</v>
      </c>
      <c r="H141" s="314">
        <f>N141</f>
        <v>3823.8</v>
      </c>
      <c r="I141" s="315"/>
      <c r="J141" s="423"/>
      <c r="K141" s="315"/>
      <c r="L141" s="423"/>
      <c r="M141" s="423"/>
      <c r="N141" s="309">
        <v>3823.8</v>
      </c>
      <c r="O141" s="6"/>
    </row>
    <row r="142" spans="1:15" s="25" customFormat="1" ht="27">
      <c r="A142" s="96" t="s">
        <v>129</v>
      </c>
      <c r="B142" s="32" t="s">
        <v>130</v>
      </c>
      <c r="C142" s="33" t="s">
        <v>76</v>
      </c>
      <c r="D142" s="33" t="s">
        <v>76</v>
      </c>
      <c r="E142" s="33" t="s">
        <v>76</v>
      </c>
      <c r="F142" s="33" t="s">
        <v>76</v>
      </c>
      <c r="G142" s="33" t="s">
        <v>76</v>
      </c>
      <c r="H142" s="130">
        <f>I142+N142+K142</f>
        <v>16689700</v>
      </c>
      <c r="I142" s="130">
        <f>I51+I54+I81+I82+I52+I66</f>
        <v>16679700</v>
      </c>
      <c r="J142" s="130"/>
      <c r="K142" s="130">
        <f>K126</f>
        <v>10000</v>
      </c>
      <c r="L142" s="134" t="s">
        <v>76</v>
      </c>
      <c r="M142" s="134" t="s">
        <v>76</v>
      </c>
      <c r="N142" s="130"/>
      <c r="O142" s="6" t="s">
        <v>76</v>
      </c>
    </row>
    <row r="143" spans="1:15" s="25" customFormat="1" ht="27">
      <c r="A143" s="96" t="s">
        <v>131</v>
      </c>
      <c r="B143" s="32" t="s">
        <v>132</v>
      </c>
      <c r="C143" s="33" t="s">
        <v>76</v>
      </c>
      <c r="D143" s="33" t="s">
        <v>76</v>
      </c>
      <c r="E143" s="33" t="s">
        <v>76</v>
      </c>
      <c r="F143" s="33" t="s">
        <v>76</v>
      </c>
      <c r="G143" s="33" t="s">
        <v>76</v>
      </c>
      <c r="H143" s="130">
        <f>H145+H144</f>
        <v>6593603.7</v>
      </c>
      <c r="I143" s="130">
        <f>I145+I144</f>
        <v>4367139</v>
      </c>
      <c r="J143" s="130">
        <f>J145+J144</f>
        <v>0</v>
      </c>
      <c r="K143" s="130">
        <f>K145+K144</f>
        <v>2126964.7</v>
      </c>
      <c r="L143" s="134"/>
      <c r="M143" s="134"/>
      <c r="N143" s="130">
        <f>N145+N144</f>
        <v>99500</v>
      </c>
      <c r="O143" s="6"/>
    </row>
    <row r="144" spans="1:15" s="25" customFormat="1" ht="24" customHeight="1">
      <c r="A144" s="96" t="s">
        <v>133</v>
      </c>
      <c r="B144" s="32" t="s">
        <v>134</v>
      </c>
      <c r="C144" s="33" t="s">
        <v>76</v>
      </c>
      <c r="D144" s="33" t="s">
        <v>76</v>
      </c>
      <c r="E144" s="33" t="s">
        <v>76</v>
      </c>
      <c r="F144" s="33" t="s">
        <v>76</v>
      </c>
      <c r="G144" s="33" t="s">
        <v>76</v>
      </c>
      <c r="H144" s="130">
        <f>I144+N144+K144</f>
        <v>0</v>
      </c>
      <c r="I144" s="130"/>
      <c r="J144" s="130"/>
      <c r="K144" s="130">
        <v>0</v>
      </c>
      <c r="L144" s="134"/>
      <c r="M144" s="134"/>
      <c r="N144" s="130">
        <v>0</v>
      </c>
      <c r="O144" s="6"/>
    </row>
    <row r="145" spans="1:15" s="25" customFormat="1" ht="12.75" customHeight="1">
      <c r="A145" s="96" t="s">
        <v>135</v>
      </c>
      <c r="B145" s="32" t="s">
        <v>136</v>
      </c>
      <c r="C145" s="33" t="s">
        <v>76</v>
      </c>
      <c r="D145" s="33" t="s">
        <v>76</v>
      </c>
      <c r="E145" s="33" t="s">
        <v>76</v>
      </c>
      <c r="F145" s="33" t="s">
        <v>76</v>
      </c>
      <c r="G145" s="33" t="s">
        <v>76</v>
      </c>
      <c r="H145" s="130">
        <f>I145+N145+K145</f>
        <v>6593603.7</v>
      </c>
      <c r="I145" s="130">
        <f>I56+I61+I62+I63+I64+I67+I72+I73+I75+I77+I78+I79+I80+I91+I86+I87+I68+I69+I70+I71+I88+I76</f>
        <v>4367139</v>
      </c>
      <c r="J145" s="130"/>
      <c r="K145" s="130">
        <f>K95+K99+K123+K124+K108+K109+K110+K116+K118+K102+K103+K104+K105+K101+K128+K130+K115+K111+K112+K113</f>
        <v>2126964.7</v>
      </c>
      <c r="L145" s="134" t="s">
        <v>76</v>
      </c>
      <c r="M145" s="134" t="s">
        <v>76</v>
      </c>
      <c r="N145" s="130">
        <f>N132+N133+N135+N138+N139+N134+N137+N140+N136+N141</f>
        <v>99500</v>
      </c>
      <c r="O145" s="6" t="s">
        <v>76</v>
      </c>
    </row>
    <row r="146" spans="1:15" s="25" customFormat="1" ht="13.5" hidden="1">
      <c r="A146" s="8" t="s">
        <v>137</v>
      </c>
      <c r="B146" s="9" t="s">
        <v>138</v>
      </c>
      <c r="C146" s="34" t="s">
        <v>76</v>
      </c>
      <c r="D146" s="34" t="s">
        <v>76</v>
      </c>
      <c r="E146" s="34" t="s">
        <v>76</v>
      </c>
      <c r="F146" s="34" t="s">
        <v>76</v>
      </c>
      <c r="G146" s="34" t="s">
        <v>76</v>
      </c>
      <c r="H146" s="126">
        <f>I146+N146</f>
        <v>0</v>
      </c>
      <c r="I146" s="126">
        <v>0</v>
      </c>
      <c r="J146" s="126"/>
      <c r="K146" s="126"/>
      <c r="L146" s="135" t="s">
        <v>76</v>
      </c>
      <c r="M146" s="135" t="s">
        <v>76</v>
      </c>
      <c r="N146" s="126">
        <v>0</v>
      </c>
      <c r="O146" s="6" t="s">
        <v>76</v>
      </c>
    </row>
    <row r="147" spans="1:15" s="25" customFormat="1" ht="13.5" hidden="1">
      <c r="A147" s="20" t="s">
        <v>139</v>
      </c>
      <c r="B147" s="9" t="s">
        <v>118</v>
      </c>
      <c r="C147" s="34" t="s">
        <v>76</v>
      </c>
      <c r="D147" s="34" t="s">
        <v>76</v>
      </c>
      <c r="E147" s="34" t="s">
        <v>76</v>
      </c>
      <c r="F147" s="34" t="s">
        <v>76</v>
      </c>
      <c r="G147" s="34" t="s">
        <v>76</v>
      </c>
      <c r="H147" s="126">
        <v>0</v>
      </c>
      <c r="I147" s="126">
        <v>0</v>
      </c>
      <c r="J147" s="126"/>
      <c r="K147" s="126"/>
      <c r="L147" s="135" t="s">
        <v>76</v>
      </c>
      <c r="M147" s="135" t="s">
        <v>76</v>
      </c>
      <c r="N147" s="126">
        <v>0</v>
      </c>
      <c r="O147" s="6" t="s">
        <v>76</v>
      </c>
    </row>
    <row r="148" spans="1:15" s="25" customFormat="1" ht="13.5" hidden="1">
      <c r="A148" s="20" t="s">
        <v>140</v>
      </c>
      <c r="B148" s="9" t="s">
        <v>141</v>
      </c>
      <c r="C148" s="34" t="s">
        <v>76</v>
      </c>
      <c r="D148" s="34" t="s">
        <v>76</v>
      </c>
      <c r="E148" s="34" t="s">
        <v>76</v>
      </c>
      <c r="F148" s="34" t="s">
        <v>76</v>
      </c>
      <c r="G148" s="34" t="s">
        <v>76</v>
      </c>
      <c r="H148" s="126">
        <v>0</v>
      </c>
      <c r="I148" s="126">
        <v>0</v>
      </c>
      <c r="J148" s="126"/>
      <c r="K148" s="126"/>
      <c r="L148" s="135" t="s">
        <v>76</v>
      </c>
      <c r="M148" s="135" t="s">
        <v>76</v>
      </c>
      <c r="N148" s="126">
        <v>0</v>
      </c>
      <c r="O148" s="6" t="s">
        <v>76</v>
      </c>
    </row>
    <row r="149" spans="1:15" s="25" customFormat="1" ht="13.5" hidden="1">
      <c r="A149" s="20" t="s">
        <v>142</v>
      </c>
      <c r="B149" s="9" t="s">
        <v>143</v>
      </c>
      <c r="C149" s="34" t="s">
        <v>76</v>
      </c>
      <c r="D149" s="34" t="s">
        <v>76</v>
      </c>
      <c r="E149" s="34" t="s">
        <v>76</v>
      </c>
      <c r="F149" s="34" t="s">
        <v>76</v>
      </c>
      <c r="G149" s="34" t="s">
        <v>76</v>
      </c>
      <c r="H149" s="126">
        <v>0</v>
      </c>
      <c r="I149" s="126">
        <v>0</v>
      </c>
      <c r="J149" s="126"/>
      <c r="K149" s="126"/>
      <c r="L149" s="135" t="s">
        <v>76</v>
      </c>
      <c r="M149" s="135" t="s">
        <v>76</v>
      </c>
      <c r="N149" s="126">
        <v>0</v>
      </c>
      <c r="O149" s="6" t="s">
        <v>76</v>
      </c>
    </row>
    <row r="150" spans="1:15" s="25" customFormat="1" ht="13.5" hidden="1">
      <c r="A150" s="20" t="s">
        <v>144</v>
      </c>
      <c r="B150" s="9" t="s">
        <v>145</v>
      </c>
      <c r="C150" s="34" t="s">
        <v>76</v>
      </c>
      <c r="D150" s="34" t="s">
        <v>76</v>
      </c>
      <c r="E150" s="34" t="s">
        <v>76</v>
      </c>
      <c r="F150" s="34" t="s">
        <v>76</v>
      </c>
      <c r="G150" s="34" t="s">
        <v>76</v>
      </c>
      <c r="H150" s="126">
        <v>0</v>
      </c>
      <c r="I150" s="126">
        <v>0</v>
      </c>
      <c r="J150" s="126"/>
      <c r="K150" s="126"/>
      <c r="L150" s="135" t="s">
        <v>76</v>
      </c>
      <c r="M150" s="135" t="s">
        <v>76</v>
      </c>
      <c r="N150" s="126">
        <v>0</v>
      </c>
      <c r="O150" s="6" t="s">
        <v>76</v>
      </c>
    </row>
    <row r="151" spans="1:15" s="25" customFormat="1" ht="13.5" hidden="1">
      <c r="A151" s="20" t="s">
        <v>146</v>
      </c>
      <c r="B151" s="9" t="s">
        <v>147</v>
      </c>
      <c r="C151" s="34" t="s">
        <v>76</v>
      </c>
      <c r="D151" s="34" t="s">
        <v>76</v>
      </c>
      <c r="E151" s="34" t="s">
        <v>76</v>
      </c>
      <c r="F151" s="34" t="s">
        <v>76</v>
      </c>
      <c r="G151" s="34" t="s">
        <v>76</v>
      </c>
      <c r="H151" s="126">
        <v>0</v>
      </c>
      <c r="I151" s="126">
        <v>0</v>
      </c>
      <c r="J151" s="126"/>
      <c r="K151" s="126"/>
      <c r="L151" s="135" t="s">
        <v>76</v>
      </c>
      <c r="M151" s="135" t="s">
        <v>76</v>
      </c>
      <c r="N151" s="126">
        <v>0</v>
      </c>
      <c r="O151" s="6" t="s">
        <v>76</v>
      </c>
    </row>
    <row r="152" spans="1:15" s="25" customFormat="1" ht="13.5">
      <c r="A152" s="48" t="s">
        <v>137</v>
      </c>
      <c r="B152" s="49" t="s">
        <v>138</v>
      </c>
      <c r="C152" s="50" t="s">
        <v>173</v>
      </c>
      <c r="D152" s="49" t="s">
        <v>81</v>
      </c>
      <c r="E152" s="50" t="s">
        <v>174</v>
      </c>
      <c r="F152" s="50" t="s">
        <v>174</v>
      </c>
      <c r="G152" s="50" t="s">
        <v>175</v>
      </c>
      <c r="H152" s="132">
        <v>28653.9</v>
      </c>
      <c r="I152" s="136"/>
      <c r="J152" s="136"/>
      <c r="K152" s="136"/>
      <c r="L152" s="137"/>
      <c r="M152" s="137"/>
      <c r="N152" s="136"/>
      <c r="O152" s="6"/>
    </row>
    <row r="153" spans="1:15" s="25" customFormat="1" ht="13.5">
      <c r="A153" s="51" t="s">
        <v>142</v>
      </c>
      <c r="B153" s="49" t="s">
        <v>143</v>
      </c>
      <c r="C153" s="50" t="s">
        <v>173</v>
      </c>
      <c r="D153" s="49" t="s">
        <v>81</v>
      </c>
      <c r="E153" s="50" t="s">
        <v>174</v>
      </c>
      <c r="F153" s="50" t="s">
        <v>174</v>
      </c>
      <c r="G153" s="50" t="s">
        <v>176</v>
      </c>
      <c r="H153" s="132">
        <v>28653.9</v>
      </c>
      <c r="I153" s="136"/>
      <c r="J153" s="136"/>
      <c r="K153" s="136"/>
      <c r="L153" s="137"/>
      <c r="M153" s="137"/>
      <c r="N153" s="136"/>
      <c r="O153" s="6"/>
    </row>
    <row r="154" spans="1:15" s="25" customFormat="1" ht="13.5">
      <c r="A154" s="35" t="s">
        <v>148</v>
      </c>
      <c r="B154" s="36" t="s">
        <v>149</v>
      </c>
      <c r="C154" s="37" t="s">
        <v>76</v>
      </c>
      <c r="D154" s="37" t="s">
        <v>76</v>
      </c>
      <c r="E154" s="37" t="s">
        <v>76</v>
      </c>
      <c r="F154" s="37" t="s">
        <v>76</v>
      </c>
      <c r="G154" s="37" t="s">
        <v>76</v>
      </c>
      <c r="H154" s="133">
        <f>I154+K154+N154</f>
        <v>0</v>
      </c>
      <c r="I154" s="133">
        <v>0</v>
      </c>
      <c r="J154" s="133"/>
      <c r="K154" s="133"/>
      <c r="L154" s="138" t="s">
        <v>76</v>
      </c>
      <c r="M154" s="138" t="s">
        <v>76</v>
      </c>
      <c r="N154" s="133"/>
      <c r="O154" s="6" t="s">
        <v>76</v>
      </c>
    </row>
    <row r="155" spans="1:15" s="25" customFormat="1" ht="13.5">
      <c r="A155" s="20" t="s">
        <v>150</v>
      </c>
      <c r="B155" s="9" t="s">
        <v>151</v>
      </c>
      <c r="C155" s="34" t="s">
        <v>76</v>
      </c>
      <c r="D155" s="34" t="s">
        <v>76</v>
      </c>
      <c r="E155" s="34" t="s">
        <v>76</v>
      </c>
      <c r="F155" s="34" t="s">
        <v>76</v>
      </c>
      <c r="G155" s="34" t="s">
        <v>76</v>
      </c>
      <c r="H155" s="126">
        <v>0</v>
      </c>
      <c r="I155" s="126">
        <v>0</v>
      </c>
      <c r="J155" s="126"/>
      <c r="K155" s="126"/>
      <c r="L155" s="135" t="s">
        <v>76</v>
      </c>
      <c r="M155" s="135" t="s">
        <v>76</v>
      </c>
      <c r="N155" s="126">
        <v>0</v>
      </c>
      <c r="O155" s="6" t="s">
        <v>76</v>
      </c>
    </row>
    <row r="157" ht="12.75">
      <c r="A157" s="88" t="s">
        <v>271</v>
      </c>
    </row>
    <row r="158" ht="12.75">
      <c r="A158" s="88"/>
    </row>
    <row r="159" ht="19.5" customHeight="1">
      <c r="A159" s="88" t="s">
        <v>17</v>
      </c>
    </row>
    <row r="160" ht="12.75">
      <c r="A160" s="88" t="s">
        <v>272</v>
      </c>
    </row>
    <row r="161" ht="12.75">
      <c r="A161" s="88"/>
    </row>
    <row r="162" ht="13.5" customHeight="1">
      <c r="A162" s="89"/>
    </row>
    <row r="163" ht="13.5" customHeight="1">
      <c r="A163" s="89"/>
    </row>
    <row r="164" ht="12.75" customHeight="1">
      <c r="A164" s="89"/>
    </row>
    <row r="165" ht="12.75" customHeight="1">
      <c r="A165" s="89"/>
    </row>
    <row r="166" ht="12.75" customHeight="1">
      <c r="A166" s="89"/>
    </row>
    <row r="167" ht="12.75" customHeight="1">
      <c r="A167" s="89"/>
    </row>
    <row r="168" ht="12.75" customHeight="1">
      <c r="A168" s="89"/>
    </row>
    <row r="169" ht="12.75" customHeight="1">
      <c r="A169" s="89"/>
    </row>
    <row r="170" ht="12.75" customHeight="1">
      <c r="A170" s="89"/>
    </row>
  </sheetData>
  <sheetProtection/>
  <mergeCells count="80">
    <mergeCell ref="N6:O6"/>
    <mergeCell ref="G4:G6"/>
    <mergeCell ref="A1:O1"/>
    <mergeCell ref="B2:M2"/>
    <mergeCell ref="N2:O2"/>
    <mergeCell ref="A4:A6"/>
    <mergeCell ref="B4:B6"/>
    <mergeCell ref="D4:D6"/>
    <mergeCell ref="E4:E6"/>
    <mergeCell ref="H4:O4"/>
    <mergeCell ref="H5:H6"/>
    <mergeCell ref="J15:J16"/>
    <mergeCell ref="A18:A22"/>
    <mergeCell ref="C18:C22"/>
    <mergeCell ref="B10:B14"/>
    <mergeCell ref="C11:C13"/>
    <mergeCell ref="F16:F17"/>
    <mergeCell ref="G16:G17"/>
    <mergeCell ref="I5:O5"/>
    <mergeCell ref="C4:C6"/>
    <mergeCell ref="A35:A37"/>
    <mergeCell ref="C35:C37"/>
    <mergeCell ref="F35:F37"/>
    <mergeCell ref="B15:B22"/>
    <mergeCell ref="A16:A17"/>
    <mergeCell ref="C16:C17"/>
    <mergeCell ref="F18:F22"/>
    <mergeCell ref="E11:E13"/>
    <mergeCell ref="F11:F13"/>
    <mergeCell ref="E16:E17"/>
    <mergeCell ref="A29:A34"/>
    <mergeCell ref="F30:F34"/>
    <mergeCell ref="F4:F6"/>
    <mergeCell ref="A40:A41"/>
    <mergeCell ref="C40:C41"/>
    <mergeCell ref="F40:F41"/>
    <mergeCell ref="A50:B50"/>
    <mergeCell ref="A56:A61"/>
    <mergeCell ref="C56:C61"/>
    <mergeCell ref="F56:F61"/>
    <mergeCell ref="A63:A64"/>
    <mergeCell ref="C63:C64"/>
    <mergeCell ref="E63:E64"/>
    <mergeCell ref="A79:A80"/>
    <mergeCell ref="C79:C80"/>
    <mergeCell ref="F63:F64"/>
    <mergeCell ref="A72:A73"/>
    <mergeCell ref="C72:C73"/>
    <mergeCell ref="E72:E73"/>
    <mergeCell ref="A74:B74"/>
    <mergeCell ref="A77:A78"/>
    <mergeCell ref="C77:C78"/>
    <mergeCell ref="E77:E78"/>
    <mergeCell ref="E67:E68"/>
    <mergeCell ref="F77:F78"/>
    <mergeCell ref="E79:E80"/>
    <mergeCell ref="F79:F80"/>
    <mergeCell ref="G72:G73"/>
    <mergeCell ref="F72:F73"/>
    <mergeCell ref="G115:G116"/>
    <mergeCell ref="G63:G64"/>
    <mergeCell ref="G77:G78"/>
    <mergeCell ref="A96:B96"/>
    <mergeCell ref="A100:B100"/>
    <mergeCell ref="A106:B106"/>
    <mergeCell ref="A108:A110"/>
    <mergeCell ref="G79:G80"/>
    <mergeCell ref="A92:B92"/>
    <mergeCell ref="F108:F110"/>
    <mergeCell ref="G108:G110"/>
    <mergeCell ref="C108:C110"/>
    <mergeCell ref="E108:E110"/>
    <mergeCell ref="A122:B122"/>
    <mergeCell ref="A131:B131"/>
    <mergeCell ref="A117:B117"/>
    <mergeCell ref="A120:B120"/>
    <mergeCell ref="F115:F116"/>
    <mergeCell ref="A115:A116"/>
    <mergeCell ref="C115:C116"/>
    <mergeCell ref="E115:E11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9"/>
  <sheetViews>
    <sheetView zoomScalePageLayoutView="0" workbookViewId="0" topLeftCell="A70">
      <selection activeCell="K111" sqref="K111"/>
    </sheetView>
  </sheetViews>
  <sheetFormatPr defaultColWidth="1.37890625" defaultRowHeight="12.75"/>
  <cols>
    <col min="1" max="1" width="39.875" style="2" customWidth="1"/>
    <col min="2" max="2" width="6.125" style="2" customWidth="1"/>
    <col min="3" max="3" width="10.875" style="2" customWidth="1"/>
    <col min="4" max="4" width="17.125" style="2" customWidth="1"/>
    <col min="5" max="5" width="6.625" style="2" customWidth="1"/>
    <col min="6" max="6" width="6.375" style="2" customWidth="1"/>
    <col min="7" max="7" width="6.125" style="2" customWidth="1"/>
    <col min="8" max="8" width="13.875" style="2" customWidth="1"/>
    <col min="9" max="9" width="13.625" style="2" customWidth="1"/>
    <col min="10" max="10" width="11.00390625" style="2" hidden="1" customWidth="1"/>
    <col min="11" max="11" width="13.875" style="2" customWidth="1"/>
    <col min="12" max="12" width="6.125" style="2" hidden="1" customWidth="1"/>
    <col min="13" max="13" width="8.875" style="2" hidden="1" customWidth="1"/>
    <col min="14" max="14" width="14.125" style="2" customWidth="1"/>
    <col min="15" max="15" width="8.00390625" style="2" hidden="1" customWidth="1"/>
    <col min="16" max="20" width="1.37890625" style="2" customWidth="1"/>
    <col min="21" max="21" width="4.625" style="2" customWidth="1"/>
    <col min="22" max="16384" width="1.37890625" style="2" customWidth="1"/>
  </cols>
  <sheetData>
    <row r="1" spans="1:15" ht="15.75">
      <c r="A1" s="717" t="s">
        <v>186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5.75">
      <c r="A2" s="1"/>
      <c r="B2" s="717" t="s">
        <v>375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 t="s">
        <v>54</v>
      </c>
      <c r="O2" s="7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>
      <c r="A4" s="718" t="s">
        <v>0</v>
      </c>
      <c r="B4" s="719" t="s">
        <v>55</v>
      </c>
      <c r="C4" s="719" t="s">
        <v>56</v>
      </c>
      <c r="D4" s="722" t="s">
        <v>57</v>
      </c>
      <c r="E4" s="722" t="s">
        <v>58</v>
      </c>
      <c r="F4" s="719" t="s">
        <v>59</v>
      </c>
      <c r="G4" s="718" t="s">
        <v>47</v>
      </c>
      <c r="H4" s="719" t="s">
        <v>60</v>
      </c>
      <c r="I4" s="719"/>
      <c r="J4" s="719"/>
      <c r="K4" s="719"/>
      <c r="L4" s="719"/>
      <c r="M4" s="719"/>
      <c r="N4" s="719"/>
      <c r="O4" s="719"/>
    </row>
    <row r="5" spans="1:15" ht="14.25" customHeight="1">
      <c r="A5" s="718"/>
      <c r="B5" s="719"/>
      <c r="C5" s="719"/>
      <c r="D5" s="723"/>
      <c r="E5" s="723"/>
      <c r="F5" s="719"/>
      <c r="G5" s="718"/>
      <c r="H5" s="720" t="s">
        <v>61</v>
      </c>
      <c r="I5" s="718" t="s">
        <v>62</v>
      </c>
      <c r="J5" s="718"/>
      <c r="K5" s="718"/>
      <c r="L5" s="718"/>
      <c r="M5" s="718"/>
      <c r="N5" s="718"/>
      <c r="O5" s="718"/>
    </row>
    <row r="6" spans="1:15" ht="88.5" customHeight="1">
      <c r="A6" s="718"/>
      <c r="B6" s="719"/>
      <c r="C6" s="719"/>
      <c r="D6" s="724"/>
      <c r="E6" s="724"/>
      <c r="F6" s="719"/>
      <c r="G6" s="718"/>
      <c r="H6" s="721"/>
      <c r="I6" s="91" t="s">
        <v>63</v>
      </c>
      <c r="J6" s="91" t="s">
        <v>64</v>
      </c>
      <c r="K6" s="91" t="s">
        <v>65</v>
      </c>
      <c r="L6" s="91" t="s">
        <v>66</v>
      </c>
      <c r="M6" s="91" t="s">
        <v>67</v>
      </c>
      <c r="N6" s="719" t="s">
        <v>68</v>
      </c>
      <c r="O6" s="719"/>
    </row>
    <row r="7" spans="1:15" ht="12.75" hidden="1">
      <c r="A7" s="90"/>
      <c r="B7" s="90"/>
      <c r="C7" s="92"/>
      <c r="D7" s="92"/>
      <c r="E7" s="92"/>
      <c r="F7" s="92"/>
      <c r="G7" s="93"/>
      <c r="H7" s="90"/>
      <c r="I7" s="90"/>
      <c r="J7" s="90"/>
      <c r="K7" s="90"/>
      <c r="L7" s="90"/>
      <c r="M7" s="90"/>
      <c r="N7" s="90" t="s">
        <v>61</v>
      </c>
      <c r="O7" s="90" t="s">
        <v>69</v>
      </c>
    </row>
    <row r="8" spans="1:15" ht="15" customHeight="1">
      <c r="A8" s="90">
        <v>1</v>
      </c>
      <c r="B8" s="90">
        <v>2</v>
      </c>
      <c r="C8" s="94" t="s">
        <v>70</v>
      </c>
      <c r="D8" s="90">
        <v>4</v>
      </c>
      <c r="E8" s="94" t="s">
        <v>71</v>
      </c>
      <c r="F8" s="90">
        <v>6</v>
      </c>
      <c r="G8" s="94" t="s">
        <v>72</v>
      </c>
      <c r="H8" s="90">
        <v>8</v>
      </c>
      <c r="I8" s="90">
        <v>9</v>
      </c>
      <c r="J8" s="94" t="s">
        <v>73</v>
      </c>
      <c r="K8" s="90">
        <v>10</v>
      </c>
      <c r="L8" s="90">
        <v>7</v>
      </c>
      <c r="M8" s="90">
        <v>8</v>
      </c>
      <c r="N8" s="90">
        <v>11</v>
      </c>
      <c r="O8" s="90">
        <v>10</v>
      </c>
    </row>
    <row r="9" spans="1:15" ht="16.5" customHeight="1">
      <c r="A9" s="53" t="s">
        <v>74</v>
      </c>
      <c r="B9" s="42" t="s">
        <v>75</v>
      </c>
      <c r="C9" s="42" t="s">
        <v>76</v>
      </c>
      <c r="D9" s="54" t="s">
        <v>76</v>
      </c>
      <c r="E9" s="54" t="s">
        <v>76</v>
      </c>
      <c r="F9" s="54" t="s">
        <v>76</v>
      </c>
      <c r="G9" s="54" t="s">
        <v>76</v>
      </c>
      <c r="H9" s="124">
        <f>H10+H15+H23</f>
        <v>23283303.7</v>
      </c>
      <c r="I9" s="124">
        <f>I15</f>
        <v>21046839</v>
      </c>
      <c r="J9" s="124"/>
      <c r="K9" s="124">
        <f>K23</f>
        <v>2136964.7</v>
      </c>
      <c r="L9" s="125" t="s">
        <v>76</v>
      </c>
      <c r="M9" s="125" t="s">
        <v>76</v>
      </c>
      <c r="N9" s="124">
        <f>N10</f>
        <v>99500</v>
      </c>
      <c r="O9" s="4" t="s">
        <v>76</v>
      </c>
    </row>
    <row r="10" spans="1:15" ht="12.75">
      <c r="A10" s="5" t="s">
        <v>77</v>
      </c>
      <c r="B10" s="695" t="s">
        <v>78</v>
      </c>
      <c r="C10" s="7" t="s">
        <v>76</v>
      </c>
      <c r="D10" s="7" t="s">
        <v>76</v>
      </c>
      <c r="E10" s="7" t="s">
        <v>76</v>
      </c>
      <c r="F10" s="7" t="s">
        <v>76</v>
      </c>
      <c r="G10" s="7" t="s">
        <v>76</v>
      </c>
      <c r="H10" s="126">
        <f>N10</f>
        <v>99500</v>
      </c>
      <c r="I10" s="26" t="s">
        <v>76</v>
      </c>
      <c r="J10" s="26"/>
      <c r="K10" s="26" t="s">
        <v>76</v>
      </c>
      <c r="L10" s="26" t="s">
        <v>76</v>
      </c>
      <c r="M10" s="26" t="s">
        <v>76</v>
      </c>
      <c r="N10" s="99">
        <f>N12+N13+N14</f>
        <v>99500</v>
      </c>
      <c r="O10" s="7" t="s">
        <v>76</v>
      </c>
    </row>
    <row r="11" spans="1:15" ht="25.5" hidden="1">
      <c r="A11" s="8" t="s">
        <v>79</v>
      </c>
      <c r="B11" s="695"/>
      <c r="C11" s="693" t="s">
        <v>80</v>
      </c>
      <c r="D11" s="9" t="s">
        <v>81</v>
      </c>
      <c r="E11" s="678"/>
      <c r="F11" s="693" t="s">
        <v>207</v>
      </c>
      <c r="G11" s="9"/>
      <c r="H11" s="126">
        <f>N11</f>
        <v>0</v>
      </c>
      <c r="I11" s="26" t="s">
        <v>76</v>
      </c>
      <c r="J11" s="26"/>
      <c r="K11" s="26" t="s">
        <v>76</v>
      </c>
      <c r="L11" s="26" t="s">
        <v>76</v>
      </c>
      <c r="M11" s="26" t="s">
        <v>76</v>
      </c>
      <c r="N11" s="99"/>
      <c r="O11" s="7" t="s">
        <v>76</v>
      </c>
    </row>
    <row r="12" spans="1:15" ht="25.5">
      <c r="A12" s="8" t="s">
        <v>223</v>
      </c>
      <c r="B12" s="695"/>
      <c r="C12" s="697"/>
      <c r="D12" s="9" t="s">
        <v>81</v>
      </c>
      <c r="E12" s="679"/>
      <c r="F12" s="697"/>
      <c r="G12" s="9"/>
      <c r="H12" s="126">
        <f>N12</f>
        <v>34500</v>
      </c>
      <c r="I12" s="26" t="s">
        <v>76</v>
      </c>
      <c r="J12" s="26"/>
      <c r="K12" s="26" t="s">
        <v>76</v>
      </c>
      <c r="L12" s="26"/>
      <c r="M12" s="26"/>
      <c r="N12" s="99">
        <v>34500</v>
      </c>
      <c r="O12" s="7"/>
    </row>
    <row r="13" spans="1:15" ht="16.5" customHeight="1">
      <c r="A13" s="8" t="s">
        <v>82</v>
      </c>
      <c r="B13" s="695"/>
      <c r="C13" s="694"/>
      <c r="D13" s="9" t="s">
        <v>81</v>
      </c>
      <c r="E13" s="680"/>
      <c r="F13" s="694"/>
      <c r="G13" s="9"/>
      <c r="H13" s="126">
        <f>N13</f>
        <v>30000</v>
      </c>
      <c r="I13" s="26" t="s">
        <v>76</v>
      </c>
      <c r="J13" s="26"/>
      <c r="K13" s="26" t="s">
        <v>76</v>
      </c>
      <c r="L13" s="26"/>
      <c r="M13" s="26"/>
      <c r="N13" s="139">
        <v>30000</v>
      </c>
      <c r="O13" s="7"/>
    </row>
    <row r="14" spans="1:15" ht="16.5" customHeight="1">
      <c r="A14" s="8" t="s">
        <v>83</v>
      </c>
      <c r="B14" s="695"/>
      <c r="C14" s="9" t="s">
        <v>80</v>
      </c>
      <c r="D14" s="9" t="s">
        <v>81</v>
      </c>
      <c r="E14" s="9"/>
      <c r="F14" s="9" t="s">
        <v>346</v>
      </c>
      <c r="G14" s="9"/>
      <c r="H14" s="126">
        <f>N14</f>
        <v>35000</v>
      </c>
      <c r="I14" s="26" t="s">
        <v>76</v>
      </c>
      <c r="J14" s="26"/>
      <c r="K14" s="26" t="s">
        <v>76</v>
      </c>
      <c r="L14" s="26" t="s">
        <v>76</v>
      </c>
      <c r="M14" s="26" t="s">
        <v>76</v>
      </c>
      <c r="N14" s="139">
        <v>35000</v>
      </c>
      <c r="O14" s="7" t="s">
        <v>76</v>
      </c>
    </row>
    <row r="15" spans="1:15" ht="16.5" customHeight="1">
      <c r="A15" s="8" t="s">
        <v>85</v>
      </c>
      <c r="B15" s="693" t="s">
        <v>86</v>
      </c>
      <c r="C15" s="6" t="s">
        <v>76</v>
      </c>
      <c r="D15" s="9"/>
      <c r="E15" s="6" t="s">
        <v>76</v>
      </c>
      <c r="F15" s="6" t="s">
        <v>76</v>
      </c>
      <c r="G15" s="6" t="s">
        <v>76</v>
      </c>
      <c r="H15" s="126">
        <f>SUM(H16:H22)</f>
        <v>21046839</v>
      </c>
      <c r="I15" s="78">
        <f>I16+I18+I19+I17+I22</f>
        <v>21046839</v>
      </c>
      <c r="J15" s="740"/>
      <c r="K15" s="107" t="s">
        <v>76</v>
      </c>
      <c r="L15" s="26" t="s">
        <v>76</v>
      </c>
      <c r="M15" s="26" t="s">
        <v>76</v>
      </c>
      <c r="N15" s="107" t="s">
        <v>76</v>
      </c>
      <c r="O15" s="7" t="s">
        <v>76</v>
      </c>
    </row>
    <row r="16" spans="1:16" ht="12.75">
      <c r="A16" s="684" t="s">
        <v>197</v>
      </c>
      <c r="B16" s="697"/>
      <c r="C16" s="735" t="s">
        <v>18</v>
      </c>
      <c r="D16" s="9" t="s">
        <v>81</v>
      </c>
      <c r="E16" s="735"/>
      <c r="F16" s="737">
        <v>131</v>
      </c>
      <c r="G16" s="737"/>
      <c r="H16" s="126">
        <f aca="true" t="shared" si="0" ref="H16:H22">I16</f>
        <v>408300</v>
      </c>
      <c r="I16" s="359">
        <f>408300</f>
        <v>408300</v>
      </c>
      <c r="J16" s="740"/>
      <c r="K16" s="107" t="s">
        <v>76</v>
      </c>
      <c r="L16" s="26" t="s">
        <v>76</v>
      </c>
      <c r="M16" s="26" t="s">
        <v>76</v>
      </c>
      <c r="N16" s="107" t="s">
        <v>76</v>
      </c>
      <c r="O16" s="7" t="s">
        <v>76</v>
      </c>
      <c r="P16" s="13"/>
    </row>
    <row r="17" spans="1:16" ht="12.75">
      <c r="A17" s="686"/>
      <c r="B17" s="697"/>
      <c r="C17" s="736"/>
      <c r="D17" s="14">
        <v>14130030000000000</v>
      </c>
      <c r="E17" s="736"/>
      <c r="F17" s="739"/>
      <c r="G17" s="739"/>
      <c r="H17" s="126">
        <f t="shared" si="0"/>
        <v>16689500</v>
      </c>
      <c r="I17" s="359">
        <v>16689500</v>
      </c>
      <c r="J17" s="78"/>
      <c r="K17" s="107" t="s">
        <v>76</v>
      </c>
      <c r="L17" s="26" t="s">
        <v>76</v>
      </c>
      <c r="M17" s="26" t="s">
        <v>76</v>
      </c>
      <c r="N17" s="107" t="s">
        <v>76</v>
      </c>
      <c r="O17" s="7"/>
      <c r="P17" s="13"/>
    </row>
    <row r="18" spans="1:15" ht="15" customHeight="1">
      <c r="A18" s="691" t="s">
        <v>198</v>
      </c>
      <c r="B18" s="697"/>
      <c r="C18" s="693" t="s">
        <v>20</v>
      </c>
      <c r="D18" s="9" t="s">
        <v>81</v>
      </c>
      <c r="E18" s="15"/>
      <c r="F18" s="737">
        <v>131</v>
      </c>
      <c r="G18" s="9"/>
      <c r="H18" s="126">
        <f t="shared" si="0"/>
        <v>1394239</v>
      </c>
      <c r="I18" s="359">
        <f>1543600-149361</f>
        <v>1394239</v>
      </c>
      <c r="J18" s="78"/>
      <c r="K18" s="26" t="s">
        <v>76</v>
      </c>
      <c r="L18" s="26" t="s">
        <v>76</v>
      </c>
      <c r="M18" s="26" t="s">
        <v>76</v>
      </c>
      <c r="N18" s="26" t="s">
        <v>76</v>
      </c>
      <c r="O18" s="7" t="s">
        <v>76</v>
      </c>
    </row>
    <row r="19" spans="1:15" ht="25.5" customHeight="1" hidden="1">
      <c r="A19" s="696"/>
      <c r="B19" s="697"/>
      <c r="C19" s="697"/>
      <c r="D19" s="7"/>
      <c r="E19" s="15"/>
      <c r="F19" s="738"/>
      <c r="G19" s="9"/>
      <c r="H19" s="126">
        <f t="shared" si="0"/>
        <v>0</v>
      </c>
      <c r="I19" s="78"/>
      <c r="J19" s="78"/>
      <c r="K19" s="26" t="s">
        <v>76</v>
      </c>
      <c r="L19" s="26" t="s">
        <v>76</v>
      </c>
      <c r="M19" s="26" t="s">
        <v>76</v>
      </c>
      <c r="N19" s="26" t="s">
        <v>76</v>
      </c>
      <c r="O19" s="7" t="s">
        <v>76</v>
      </c>
    </row>
    <row r="20" spans="1:15" ht="25.5" customHeight="1" hidden="1">
      <c r="A20" s="696"/>
      <c r="B20" s="697"/>
      <c r="C20" s="697"/>
      <c r="D20" s="15"/>
      <c r="E20" s="9"/>
      <c r="F20" s="738"/>
      <c r="G20" s="9"/>
      <c r="H20" s="126">
        <f t="shared" si="0"/>
        <v>0</v>
      </c>
      <c r="I20" s="26"/>
      <c r="J20" s="78"/>
      <c r="K20" s="26" t="s">
        <v>76</v>
      </c>
      <c r="L20" s="26" t="s">
        <v>76</v>
      </c>
      <c r="M20" s="26" t="s">
        <v>76</v>
      </c>
      <c r="N20" s="26" t="s">
        <v>76</v>
      </c>
      <c r="O20" s="7" t="s">
        <v>76</v>
      </c>
    </row>
    <row r="21" spans="1:15" ht="42.75" customHeight="1" hidden="1">
      <c r="A21" s="696"/>
      <c r="B21" s="697"/>
      <c r="C21" s="697"/>
      <c r="D21" s="15"/>
      <c r="E21" s="9"/>
      <c r="F21" s="738"/>
      <c r="G21" s="9"/>
      <c r="H21" s="126">
        <f t="shared" si="0"/>
        <v>0</v>
      </c>
      <c r="I21" s="26"/>
      <c r="J21" s="78"/>
      <c r="K21" s="26" t="s">
        <v>76</v>
      </c>
      <c r="L21" s="26" t="s">
        <v>76</v>
      </c>
      <c r="M21" s="26" t="s">
        <v>76</v>
      </c>
      <c r="N21" s="26" t="s">
        <v>76</v>
      </c>
      <c r="O21" s="7" t="s">
        <v>76</v>
      </c>
    </row>
    <row r="22" spans="1:15" ht="12" customHeight="1">
      <c r="A22" s="692"/>
      <c r="B22" s="694"/>
      <c r="C22" s="694"/>
      <c r="D22" s="14">
        <v>14130030000000000</v>
      </c>
      <c r="E22" s="9"/>
      <c r="F22" s="739"/>
      <c r="G22" s="9"/>
      <c r="H22" s="126">
        <f t="shared" si="0"/>
        <v>2554800</v>
      </c>
      <c r="I22" s="359">
        <v>2554800</v>
      </c>
      <c r="J22" s="78"/>
      <c r="K22" s="26" t="s">
        <v>76</v>
      </c>
      <c r="L22" s="26" t="s">
        <v>76</v>
      </c>
      <c r="M22" s="26" t="s">
        <v>76</v>
      </c>
      <c r="N22" s="26" t="s">
        <v>76</v>
      </c>
      <c r="O22" s="7"/>
    </row>
    <row r="23" spans="1:15" ht="12.75">
      <c r="A23" s="72" t="s">
        <v>87</v>
      </c>
      <c r="B23" s="62" t="s">
        <v>88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127">
        <f>K23</f>
        <v>2136964.7</v>
      </c>
      <c r="I23" s="102" t="s">
        <v>76</v>
      </c>
      <c r="J23" s="100"/>
      <c r="K23" s="100">
        <f>SUM(K24:K47)</f>
        <v>2136964.7</v>
      </c>
      <c r="L23" s="102" t="s">
        <v>76</v>
      </c>
      <c r="M23" s="102" t="s">
        <v>76</v>
      </c>
      <c r="N23" s="102" t="s">
        <v>76</v>
      </c>
      <c r="O23" s="7" t="s">
        <v>76</v>
      </c>
    </row>
    <row r="24" spans="1:16" ht="69" customHeight="1">
      <c r="A24" s="73" t="s">
        <v>45</v>
      </c>
      <c r="B24" s="62"/>
      <c r="C24" s="63" t="s">
        <v>21</v>
      </c>
      <c r="D24" s="389" t="s">
        <v>89</v>
      </c>
      <c r="E24" s="6"/>
      <c r="F24" s="6" t="s">
        <v>284</v>
      </c>
      <c r="G24" s="6"/>
      <c r="H24" s="390">
        <f>K24</f>
        <v>653340</v>
      </c>
      <c r="I24" s="107" t="s">
        <v>76</v>
      </c>
      <c r="J24" s="116"/>
      <c r="K24" s="391">
        <f>676900-23560</f>
        <v>653340</v>
      </c>
      <c r="L24" s="101" t="s">
        <v>76</v>
      </c>
      <c r="M24" s="101" t="s">
        <v>76</v>
      </c>
      <c r="N24" s="101" t="s">
        <v>76</v>
      </c>
      <c r="O24" s="18" t="s">
        <v>76</v>
      </c>
      <c r="P24" s="19"/>
    </row>
    <row r="25" spans="1:15" ht="12.75" hidden="1">
      <c r="A25" s="20" t="s">
        <v>90</v>
      </c>
      <c r="B25" s="6" t="s">
        <v>91</v>
      </c>
      <c r="C25" s="9"/>
      <c r="D25" s="15"/>
      <c r="E25" s="9"/>
      <c r="F25" s="9"/>
      <c r="G25" s="9"/>
      <c r="H25" s="126"/>
      <c r="I25" s="26" t="s">
        <v>76</v>
      </c>
      <c r="J25" s="78"/>
      <c r="K25" s="106"/>
      <c r="L25" s="26" t="s">
        <v>76</v>
      </c>
      <c r="M25" s="26" t="s">
        <v>76</v>
      </c>
      <c r="N25" s="78"/>
      <c r="O25" s="21"/>
    </row>
    <row r="26" spans="1:15" ht="12.75" customHeight="1" hidden="1">
      <c r="A26" s="20" t="s">
        <v>92</v>
      </c>
      <c r="B26" s="6" t="s">
        <v>84</v>
      </c>
      <c r="C26" s="9"/>
      <c r="D26" s="9"/>
      <c r="E26" s="9"/>
      <c r="F26" s="9" t="s">
        <v>76</v>
      </c>
      <c r="G26" s="9"/>
      <c r="H26" s="126"/>
      <c r="I26" s="26" t="s">
        <v>76</v>
      </c>
      <c r="J26" s="78"/>
      <c r="K26" s="78"/>
      <c r="L26" s="26" t="s">
        <v>76</v>
      </c>
      <c r="M26" s="26" t="s">
        <v>76</v>
      </c>
      <c r="N26" s="78"/>
      <c r="O26" s="7" t="s">
        <v>76</v>
      </c>
    </row>
    <row r="27" spans="1:15" ht="12.75" customHeight="1" hidden="1">
      <c r="A27" s="22" t="s">
        <v>93</v>
      </c>
      <c r="B27" s="6"/>
      <c r="C27" s="17" t="s">
        <v>22</v>
      </c>
      <c r="D27" s="6" t="s">
        <v>81</v>
      </c>
      <c r="E27" s="9"/>
      <c r="F27" s="6" t="s">
        <v>84</v>
      </c>
      <c r="G27" s="9"/>
      <c r="H27" s="126">
        <f>K27</f>
        <v>0</v>
      </c>
      <c r="I27" s="107" t="s">
        <v>76</v>
      </c>
      <c r="J27" s="78"/>
      <c r="K27" s="78"/>
      <c r="L27" s="26"/>
      <c r="M27" s="26"/>
      <c r="N27" s="107" t="s">
        <v>76</v>
      </c>
      <c r="O27" s="7"/>
    </row>
    <row r="28" spans="1:15" ht="25.5">
      <c r="A28" s="61" t="s">
        <v>44</v>
      </c>
      <c r="B28" s="62"/>
      <c r="C28" s="63" t="s">
        <v>41</v>
      </c>
      <c r="D28" s="6" t="s">
        <v>81</v>
      </c>
      <c r="E28" s="9"/>
      <c r="F28" s="6" t="s">
        <v>284</v>
      </c>
      <c r="G28" s="9"/>
      <c r="H28" s="126">
        <f>K28</f>
        <v>24000</v>
      </c>
      <c r="I28" s="107" t="s">
        <v>76</v>
      </c>
      <c r="J28" s="78"/>
      <c r="K28" s="78">
        <v>24000</v>
      </c>
      <c r="L28" s="26"/>
      <c r="M28" s="26"/>
      <c r="N28" s="107" t="s">
        <v>76</v>
      </c>
      <c r="O28" s="7"/>
    </row>
    <row r="29" spans="1:15" ht="24.75" customHeight="1">
      <c r="A29" s="699" t="s">
        <v>280</v>
      </c>
      <c r="B29" s="62"/>
      <c r="C29" s="63" t="s">
        <v>50</v>
      </c>
      <c r="D29" s="6" t="s">
        <v>81</v>
      </c>
      <c r="E29" s="392"/>
      <c r="F29" s="6" t="s">
        <v>284</v>
      </c>
      <c r="G29" s="9"/>
      <c r="H29" s="126">
        <f>K29</f>
        <v>80000</v>
      </c>
      <c r="I29" s="107"/>
      <c r="J29" s="322"/>
      <c r="K29" s="78">
        <v>80000</v>
      </c>
      <c r="L29" s="323"/>
      <c r="M29" s="323"/>
      <c r="N29" s="107" t="s">
        <v>76</v>
      </c>
      <c r="O29" s="7"/>
    </row>
    <row r="30" spans="1:15" ht="21" customHeight="1" hidden="1">
      <c r="A30" s="700"/>
      <c r="B30" s="62"/>
      <c r="C30" s="63" t="s">
        <v>50</v>
      </c>
      <c r="D30" s="393" t="s">
        <v>332</v>
      </c>
      <c r="E30" s="20"/>
      <c r="F30" s="695" t="s">
        <v>284</v>
      </c>
      <c r="G30" s="9"/>
      <c r="H30" s="25"/>
      <c r="I30" s="107" t="s">
        <v>76</v>
      </c>
      <c r="J30" s="108"/>
      <c r="K30" s="109"/>
      <c r="L30" s="108"/>
      <c r="M30" s="108"/>
      <c r="N30" s="107" t="s">
        <v>76</v>
      </c>
      <c r="O30" s="7"/>
    </row>
    <row r="31" spans="1:15" ht="12.75" customHeight="1" hidden="1">
      <c r="A31" s="700"/>
      <c r="B31" s="62"/>
      <c r="C31" s="63" t="s">
        <v>50</v>
      </c>
      <c r="D31" s="393" t="s">
        <v>214</v>
      </c>
      <c r="E31" s="9"/>
      <c r="F31" s="695"/>
      <c r="G31" s="9"/>
      <c r="H31" s="126">
        <f>K31</f>
        <v>0</v>
      </c>
      <c r="I31" s="107" t="s">
        <v>76</v>
      </c>
      <c r="J31" s="78"/>
      <c r="K31" s="78"/>
      <c r="L31" s="26"/>
      <c r="M31" s="26"/>
      <c r="N31" s="107" t="s">
        <v>76</v>
      </c>
      <c r="O31" s="7"/>
    </row>
    <row r="32" spans="1:15" ht="12.75" customHeight="1" hidden="1">
      <c r="A32" s="700"/>
      <c r="B32" s="62"/>
      <c r="C32" s="63" t="s">
        <v>50</v>
      </c>
      <c r="D32" s="393" t="s">
        <v>333</v>
      </c>
      <c r="E32" s="9"/>
      <c r="F32" s="695"/>
      <c r="G32" s="9"/>
      <c r="H32" s="126">
        <f aca="true" t="shared" si="1" ref="H32:H47">K32</f>
        <v>0</v>
      </c>
      <c r="I32" s="107" t="s">
        <v>76</v>
      </c>
      <c r="J32" s="78"/>
      <c r="K32" s="78"/>
      <c r="L32" s="26"/>
      <c r="M32" s="26"/>
      <c r="N32" s="107" t="s">
        <v>76</v>
      </c>
      <c r="O32" s="7"/>
    </row>
    <row r="33" spans="1:15" ht="12.75" customHeight="1" hidden="1">
      <c r="A33" s="700"/>
      <c r="B33" s="62"/>
      <c r="C33" s="63" t="s">
        <v>50</v>
      </c>
      <c r="D33" s="393" t="s">
        <v>216</v>
      </c>
      <c r="E33" s="9"/>
      <c r="F33" s="695"/>
      <c r="G33" s="9"/>
      <c r="H33" s="126">
        <f t="shared" si="1"/>
        <v>0</v>
      </c>
      <c r="I33" s="107" t="s">
        <v>76</v>
      </c>
      <c r="J33" s="78"/>
      <c r="K33" s="78"/>
      <c r="L33" s="26"/>
      <c r="M33" s="26"/>
      <c r="N33" s="107" t="s">
        <v>76</v>
      </c>
      <c r="O33" s="7"/>
    </row>
    <row r="34" spans="1:15" ht="12.75" customHeight="1" hidden="1">
      <c r="A34" s="701"/>
      <c r="B34" s="62"/>
      <c r="C34" s="63" t="s">
        <v>50</v>
      </c>
      <c r="D34" s="9" t="s">
        <v>216</v>
      </c>
      <c r="E34" s="9"/>
      <c r="F34" s="695"/>
      <c r="G34" s="9"/>
      <c r="H34" s="126">
        <f t="shared" si="1"/>
        <v>0</v>
      </c>
      <c r="I34" s="107" t="s">
        <v>76</v>
      </c>
      <c r="J34" s="78"/>
      <c r="K34" s="78"/>
      <c r="L34" s="26"/>
      <c r="M34" s="26"/>
      <c r="N34" s="107" t="s">
        <v>76</v>
      </c>
      <c r="O34" s="7"/>
    </row>
    <row r="35" spans="1:15" ht="12.75" customHeight="1">
      <c r="A35" s="741" t="s">
        <v>372</v>
      </c>
      <c r="B35" s="60"/>
      <c r="C35" s="693" t="s">
        <v>373</v>
      </c>
      <c r="D35" s="434" t="s">
        <v>332</v>
      </c>
      <c r="E35" s="9"/>
      <c r="F35" s="6" t="s">
        <v>284</v>
      </c>
      <c r="G35" s="9"/>
      <c r="H35" s="126">
        <f t="shared" si="1"/>
        <v>43200</v>
      </c>
      <c r="I35" s="107"/>
      <c r="J35" s="78"/>
      <c r="K35" s="309">
        <v>43200</v>
      </c>
      <c r="L35" s="26"/>
      <c r="M35" s="26"/>
      <c r="N35" s="107"/>
      <c r="O35" s="7"/>
    </row>
    <row r="36" spans="1:15" ht="12.75" customHeight="1">
      <c r="A36" s="742"/>
      <c r="B36" s="60"/>
      <c r="C36" s="697"/>
      <c r="D36" s="434" t="s">
        <v>214</v>
      </c>
      <c r="E36" s="9"/>
      <c r="F36" s="6" t="s">
        <v>284</v>
      </c>
      <c r="G36" s="9"/>
      <c r="H36" s="126">
        <f t="shared" si="1"/>
        <v>4800</v>
      </c>
      <c r="I36" s="107"/>
      <c r="J36" s="78"/>
      <c r="K36" s="309">
        <v>4800</v>
      </c>
      <c r="L36" s="26"/>
      <c r="M36" s="26"/>
      <c r="N36" s="107"/>
      <c r="O36" s="7"/>
    </row>
    <row r="37" spans="1:15" ht="12.75" customHeight="1">
      <c r="A37" s="742"/>
      <c r="B37" s="60"/>
      <c r="C37" s="697"/>
      <c r="D37" s="434" t="s">
        <v>333</v>
      </c>
      <c r="E37" s="9"/>
      <c r="F37" s="6" t="s">
        <v>284</v>
      </c>
      <c r="G37" s="9"/>
      <c r="H37" s="126">
        <f t="shared" si="1"/>
        <v>10800</v>
      </c>
      <c r="I37" s="107"/>
      <c r="J37" s="78"/>
      <c r="K37" s="309">
        <v>10800</v>
      </c>
      <c r="L37" s="26"/>
      <c r="M37" s="26"/>
      <c r="N37" s="107"/>
      <c r="O37" s="7"/>
    </row>
    <row r="38" spans="1:15" ht="12.75" customHeight="1">
      <c r="A38" s="743"/>
      <c r="B38" s="60"/>
      <c r="C38" s="694"/>
      <c r="D38" s="434" t="s">
        <v>216</v>
      </c>
      <c r="E38" s="9"/>
      <c r="F38" s="6" t="s">
        <v>284</v>
      </c>
      <c r="G38" s="9"/>
      <c r="H38" s="126">
        <f t="shared" si="1"/>
        <v>1200</v>
      </c>
      <c r="I38" s="107"/>
      <c r="J38" s="78"/>
      <c r="K38" s="309">
        <v>1200</v>
      </c>
      <c r="L38" s="26"/>
      <c r="M38" s="26"/>
      <c r="N38" s="107"/>
      <c r="O38" s="7"/>
    </row>
    <row r="39" spans="1:15" ht="12.75">
      <c r="A39" s="711" t="s">
        <v>155</v>
      </c>
      <c r="B39" s="62"/>
      <c r="C39" s="698" t="s">
        <v>51</v>
      </c>
      <c r="D39" s="6" t="s">
        <v>81</v>
      </c>
      <c r="E39" s="9"/>
      <c r="F39" s="693" t="s">
        <v>284</v>
      </c>
      <c r="G39" s="9"/>
      <c r="H39" s="126">
        <f t="shared" si="1"/>
        <v>195152.7</v>
      </c>
      <c r="I39" s="107" t="s">
        <v>76</v>
      </c>
      <c r="J39" s="78"/>
      <c r="K39" s="78">
        <v>195152.7</v>
      </c>
      <c r="L39" s="26"/>
      <c r="M39" s="26"/>
      <c r="N39" s="107" t="s">
        <v>76</v>
      </c>
      <c r="O39" s="7"/>
    </row>
    <row r="40" spans="1:21" ht="12.75">
      <c r="A40" s="711"/>
      <c r="B40" s="62"/>
      <c r="C40" s="698"/>
      <c r="D40" s="6" t="s">
        <v>166</v>
      </c>
      <c r="E40" s="9"/>
      <c r="F40" s="697"/>
      <c r="G40" s="9"/>
      <c r="H40" s="126">
        <f t="shared" si="1"/>
        <v>148024.8</v>
      </c>
      <c r="I40" s="107" t="s">
        <v>76</v>
      </c>
      <c r="J40" s="78"/>
      <c r="K40" s="78">
        <v>148024.8</v>
      </c>
      <c r="L40" s="26"/>
      <c r="M40" s="26"/>
      <c r="N40" s="107" t="s">
        <v>76</v>
      </c>
      <c r="O40" s="7"/>
      <c r="U40" s="392"/>
    </row>
    <row r="41" spans="1:15" ht="12.75">
      <c r="A41" s="711"/>
      <c r="B41" s="62"/>
      <c r="C41" s="698"/>
      <c r="D41" s="9" t="s">
        <v>196</v>
      </c>
      <c r="E41" s="9"/>
      <c r="F41" s="694"/>
      <c r="G41" s="9"/>
      <c r="H41" s="126">
        <f t="shared" si="1"/>
        <v>16447.2</v>
      </c>
      <c r="I41" s="107" t="s">
        <v>76</v>
      </c>
      <c r="J41" s="78"/>
      <c r="K41" s="78">
        <v>16447.2</v>
      </c>
      <c r="L41" s="26"/>
      <c r="M41" s="26"/>
      <c r="N41" s="107" t="s">
        <v>76</v>
      </c>
      <c r="O41" s="7"/>
    </row>
    <row r="42" spans="1:15" ht="63.75">
      <c r="A42" s="65" t="s">
        <v>43</v>
      </c>
      <c r="B42" s="66"/>
      <c r="C42" s="368" t="s">
        <v>42</v>
      </c>
      <c r="D42" s="6" t="s">
        <v>162</v>
      </c>
      <c r="E42" s="9"/>
      <c r="F42" s="6" t="s">
        <v>284</v>
      </c>
      <c r="G42" s="9"/>
      <c r="H42" s="126">
        <f t="shared" si="1"/>
        <v>950000</v>
      </c>
      <c r="I42" s="107" t="s">
        <v>76</v>
      </c>
      <c r="J42" s="78"/>
      <c r="K42" s="78">
        <v>950000</v>
      </c>
      <c r="L42" s="26"/>
      <c r="M42" s="26"/>
      <c r="N42" s="107" t="s">
        <v>76</v>
      </c>
      <c r="O42" s="7"/>
    </row>
    <row r="43" spans="1:15" ht="25.5">
      <c r="A43" s="65" t="s">
        <v>225</v>
      </c>
      <c r="B43" s="66"/>
      <c r="C43" s="59" t="s">
        <v>203</v>
      </c>
      <c r="D43" s="59" t="s">
        <v>81</v>
      </c>
      <c r="E43" s="59"/>
      <c r="F43" s="6" t="s">
        <v>284</v>
      </c>
      <c r="G43" s="9"/>
      <c r="H43" s="126">
        <f t="shared" si="1"/>
        <v>10000</v>
      </c>
      <c r="I43" s="107" t="s">
        <v>76</v>
      </c>
      <c r="J43" s="78"/>
      <c r="K43" s="78">
        <v>10000</v>
      </c>
      <c r="L43" s="26"/>
      <c r="M43" s="26"/>
      <c r="N43" s="107" t="s">
        <v>76</v>
      </c>
      <c r="O43" s="7"/>
    </row>
    <row r="44" spans="1:15" ht="21" customHeight="1" hidden="1">
      <c r="A44" s="689" t="s">
        <v>199</v>
      </c>
      <c r="B44" s="66"/>
      <c r="C44" s="690" t="s">
        <v>192</v>
      </c>
      <c r="D44" s="59" t="s">
        <v>193</v>
      </c>
      <c r="E44" s="59"/>
      <c r="F44" s="693" t="s">
        <v>209</v>
      </c>
      <c r="G44" s="9"/>
      <c r="H44" s="126">
        <f t="shared" si="1"/>
        <v>0</v>
      </c>
      <c r="I44" s="107" t="s">
        <v>76</v>
      </c>
      <c r="J44" s="78"/>
      <c r="K44" s="78"/>
      <c r="L44" s="26"/>
      <c r="M44" s="26"/>
      <c r="N44" s="107" t="s">
        <v>76</v>
      </c>
      <c r="O44" s="7"/>
    </row>
    <row r="45" spans="1:15" ht="18" customHeight="1" hidden="1">
      <c r="A45" s="689"/>
      <c r="B45" s="66"/>
      <c r="C45" s="690"/>
      <c r="D45" s="59" t="s">
        <v>196</v>
      </c>
      <c r="E45" s="59"/>
      <c r="F45" s="694"/>
      <c r="G45" s="9"/>
      <c r="H45" s="126">
        <f t="shared" si="1"/>
        <v>0</v>
      </c>
      <c r="I45" s="107" t="s">
        <v>76</v>
      </c>
      <c r="J45" s="78"/>
      <c r="K45" s="78"/>
      <c r="L45" s="26"/>
      <c r="M45" s="26"/>
      <c r="N45" s="107" t="s">
        <v>76</v>
      </c>
      <c r="O45" s="7"/>
    </row>
    <row r="46" spans="1:15" ht="38.25" hidden="1">
      <c r="A46" s="22" t="s">
        <v>49</v>
      </c>
      <c r="B46" s="6"/>
      <c r="C46" s="6" t="s">
        <v>23</v>
      </c>
      <c r="D46" s="6" t="s">
        <v>228</v>
      </c>
      <c r="E46" s="6"/>
      <c r="F46" s="6" t="s">
        <v>209</v>
      </c>
      <c r="G46" s="6"/>
      <c r="H46" s="129">
        <f t="shared" si="1"/>
        <v>0</v>
      </c>
      <c r="I46" s="26"/>
      <c r="J46" s="26"/>
      <c r="K46" s="78"/>
      <c r="L46" s="26"/>
      <c r="M46" s="26"/>
      <c r="N46" s="26"/>
      <c r="O46" s="7"/>
    </row>
    <row r="47" spans="1:15" ht="22.5" customHeight="1" hidden="1">
      <c r="A47" s="8" t="s">
        <v>229</v>
      </c>
      <c r="B47" s="6"/>
      <c r="C47" s="22" t="s">
        <v>230</v>
      </c>
      <c r="D47" s="6" t="s">
        <v>81</v>
      </c>
      <c r="E47" s="9"/>
      <c r="F47" s="15" t="s">
        <v>209</v>
      </c>
      <c r="G47" s="9"/>
      <c r="H47" s="126">
        <f t="shared" si="1"/>
        <v>0</v>
      </c>
      <c r="I47" s="107"/>
      <c r="J47" s="78"/>
      <c r="K47" s="26"/>
      <c r="L47" s="26"/>
      <c r="M47" s="26"/>
      <c r="N47" s="26"/>
      <c r="O47" s="7"/>
    </row>
    <row r="48" spans="1:21" s="25" customFormat="1" ht="17.25" customHeight="1">
      <c r="A48" s="23" t="s">
        <v>94</v>
      </c>
      <c r="B48" s="24" t="s">
        <v>95</v>
      </c>
      <c r="C48" s="56" t="s">
        <v>76</v>
      </c>
      <c r="D48" s="56" t="s">
        <v>76</v>
      </c>
      <c r="E48" s="56" t="s">
        <v>76</v>
      </c>
      <c r="F48" s="56" t="s">
        <v>76</v>
      </c>
      <c r="G48" s="56" t="s">
        <v>76</v>
      </c>
      <c r="H48" s="130">
        <f>I48+N48+K48</f>
        <v>23283303.7</v>
      </c>
      <c r="I48" s="130">
        <f>I54+I78+I96</f>
        <v>21046839</v>
      </c>
      <c r="J48" s="130"/>
      <c r="K48" s="130">
        <f>K96+K100+K102+K115+K126+K129+K131+K109+K134+K136+K138+K104</f>
        <v>2136964.7</v>
      </c>
      <c r="L48" s="130"/>
      <c r="M48" s="130"/>
      <c r="N48" s="130">
        <f>N140</f>
        <v>99500.00000000001</v>
      </c>
      <c r="O48" s="95"/>
      <c r="U48" s="380"/>
    </row>
    <row r="49" spans="1:15" s="25" customFormat="1" ht="18" customHeight="1">
      <c r="A49" s="8" t="s">
        <v>96</v>
      </c>
      <c r="B49" s="9" t="s">
        <v>97</v>
      </c>
      <c r="C49" s="26" t="s">
        <v>76</v>
      </c>
      <c r="D49" s="26" t="s">
        <v>76</v>
      </c>
      <c r="E49" s="26" t="s">
        <v>76</v>
      </c>
      <c r="F49" s="26" t="s">
        <v>76</v>
      </c>
      <c r="G49" s="26" t="s">
        <v>76</v>
      </c>
      <c r="H49" s="126">
        <f>I49+N49</f>
        <v>16594000</v>
      </c>
      <c r="I49" s="78">
        <f>I50+I52</f>
        <v>16594000</v>
      </c>
      <c r="J49" s="78"/>
      <c r="K49" s="78"/>
      <c r="L49" s="78"/>
      <c r="M49" s="78"/>
      <c r="N49" s="78"/>
      <c r="O49" s="7" t="s">
        <v>76</v>
      </c>
    </row>
    <row r="50" spans="1:15" s="25" customFormat="1" ht="25.5">
      <c r="A50" s="22" t="s">
        <v>98</v>
      </c>
      <c r="B50" s="9" t="s">
        <v>99</v>
      </c>
      <c r="C50" s="26" t="s">
        <v>76</v>
      </c>
      <c r="D50" s="26" t="s">
        <v>76</v>
      </c>
      <c r="E50" s="26" t="s">
        <v>76</v>
      </c>
      <c r="F50" s="26" t="s">
        <v>76</v>
      </c>
      <c r="G50" s="26" t="s">
        <v>76</v>
      </c>
      <c r="H50" s="126">
        <f>I50+N50</f>
        <v>16594000</v>
      </c>
      <c r="I50" s="78">
        <f>I55+I56+I58+I59</f>
        <v>16594000</v>
      </c>
      <c r="J50" s="78"/>
      <c r="K50" s="78"/>
      <c r="L50" s="78"/>
      <c r="M50" s="78"/>
      <c r="N50" s="78"/>
      <c r="O50" s="7" t="s">
        <v>76</v>
      </c>
    </row>
    <row r="51" spans="1:15" s="25" customFormat="1" ht="9.75" customHeight="1" hidden="1">
      <c r="A51" s="8" t="s">
        <v>100</v>
      </c>
      <c r="B51" s="9" t="s">
        <v>101</v>
      </c>
      <c r="C51" s="26" t="s">
        <v>76</v>
      </c>
      <c r="D51" s="26" t="s">
        <v>76</v>
      </c>
      <c r="E51" s="26" t="s">
        <v>76</v>
      </c>
      <c r="F51" s="26" t="s">
        <v>76</v>
      </c>
      <c r="G51" s="26" t="s">
        <v>76</v>
      </c>
      <c r="H51" s="126"/>
      <c r="I51" s="78"/>
      <c r="J51" s="78"/>
      <c r="K51" s="78"/>
      <c r="L51" s="78"/>
      <c r="M51" s="78"/>
      <c r="N51" s="78"/>
      <c r="O51" s="7" t="s">
        <v>76</v>
      </c>
    </row>
    <row r="52" spans="1:15" s="25" customFormat="1" ht="25.5" hidden="1">
      <c r="A52" s="8" t="s">
        <v>102</v>
      </c>
      <c r="B52" s="9" t="s">
        <v>103</v>
      </c>
      <c r="C52" s="26" t="s">
        <v>76</v>
      </c>
      <c r="D52" s="26" t="s">
        <v>76</v>
      </c>
      <c r="E52" s="26" t="s">
        <v>76</v>
      </c>
      <c r="F52" s="26" t="s">
        <v>76</v>
      </c>
      <c r="G52" s="26" t="s">
        <v>76</v>
      </c>
      <c r="H52" s="126">
        <f>I52+N52</f>
        <v>0</v>
      </c>
      <c r="I52" s="78"/>
      <c r="J52" s="78"/>
      <c r="K52" s="78"/>
      <c r="L52" s="78"/>
      <c r="M52" s="78"/>
      <c r="N52" s="78"/>
      <c r="O52" s="7" t="s">
        <v>76</v>
      </c>
    </row>
    <row r="53" spans="1:15" s="25" customFormat="1" ht="13.5" customHeight="1" hidden="1">
      <c r="A53" s="8" t="s">
        <v>104</v>
      </c>
      <c r="B53" s="9" t="s">
        <v>105</v>
      </c>
      <c r="C53" s="26" t="s">
        <v>76</v>
      </c>
      <c r="D53" s="26" t="s">
        <v>76</v>
      </c>
      <c r="E53" s="26" t="s">
        <v>76</v>
      </c>
      <c r="F53" s="26" t="s">
        <v>76</v>
      </c>
      <c r="G53" s="26" t="s">
        <v>76</v>
      </c>
      <c r="H53" s="126">
        <v>0</v>
      </c>
      <c r="I53" s="78">
        <v>0</v>
      </c>
      <c r="J53" s="78"/>
      <c r="K53" s="78"/>
      <c r="L53" s="78"/>
      <c r="M53" s="78"/>
      <c r="N53" s="78"/>
      <c r="O53" s="21"/>
    </row>
    <row r="54" spans="1:15" s="25" customFormat="1" ht="29.25" customHeight="1">
      <c r="A54" s="681" t="s">
        <v>106</v>
      </c>
      <c r="B54" s="683"/>
      <c r="C54" s="27" t="s">
        <v>18</v>
      </c>
      <c r="D54" s="3"/>
      <c r="E54" s="27"/>
      <c r="F54" s="3"/>
      <c r="G54" s="3"/>
      <c r="H54" s="124">
        <f>SUM(H55:H77)</f>
        <v>17097800</v>
      </c>
      <c r="I54" s="97">
        <f>SUM(I55:I77)</f>
        <v>17097800</v>
      </c>
      <c r="J54" s="110"/>
      <c r="K54" s="111" t="s">
        <v>107</v>
      </c>
      <c r="L54" s="111"/>
      <c r="M54" s="111"/>
      <c r="N54" s="111" t="s">
        <v>107</v>
      </c>
      <c r="O54" s="28"/>
    </row>
    <row r="55" spans="1:15" s="25" customFormat="1" ht="12.75">
      <c r="A55" s="22" t="s">
        <v>4</v>
      </c>
      <c r="B55" s="9"/>
      <c r="C55" s="6" t="s">
        <v>18</v>
      </c>
      <c r="D55" s="14">
        <v>14130030000000000</v>
      </c>
      <c r="E55" s="6" t="s">
        <v>108</v>
      </c>
      <c r="F55" s="6" t="s">
        <v>99</v>
      </c>
      <c r="G55" s="6" t="s">
        <v>109</v>
      </c>
      <c r="H55" s="126">
        <f>I55</f>
        <v>12739000</v>
      </c>
      <c r="I55" s="112">
        <v>12739000</v>
      </c>
      <c r="J55" s="78"/>
      <c r="K55" s="107" t="s">
        <v>76</v>
      </c>
      <c r="L55" s="107" t="s">
        <v>76</v>
      </c>
      <c r="M55" s="107" t="s">
        <v>76</v>
      </c>
      <c r="N55" s="107" t="s">
        <v>76</v>
      </c>
      <c r="O55" s="6" t="s">
        <v>76</v>
      </c>
    </row>
    <row r="56" spans="1:15" s="25" customFormat="1" ht="15.75" customHeight="1" hidden="1">
      <c r="A56" s="22" t="s">
        <v>5</v>
      </c>
      <c r="B56" s="9"/>
      <c r="C56" s="6" t="s">
        <v>18</v>
      </c>
      <c r="D56" s="9" t="s">
        <v>81</v>
      </c>
      <c r="E56" s="6" t="s">
        <v>108</v>
      </c>
      <c r="F56" s="6" t="s">
        <v>110</v>
      </c>
      <c r="G56" s="6" t="s">
        <v>111</v>
      </c>
      <c r="H56" s="126">
        <f>I56</f>
        <v>0</v>
      </c>
      <c r="I56" s="78"/>
      <c r="J56" s="78"/>
      <c r="K56" s="107" t="s">
        <v>76</v>
      </c>
      <c r="L56" s="107" t="s">
        <v>76</v>
      </c>
      <c r="M56" s="107" t="s">
        <v>76</v>
      </c>
      <c r="N56" s="107" t="s">
        <v>76</v>
      </c>
      <c r="O56" s="6"/>
    </row>
    <row r="57" spans="1:15" s="25" customFormat="1" ht="12.75" hidden="1">
      <c r="A57" s="22" t="s">
        <v>5</v>
      </c>
      <c r="B57" s="9"/>
      <c r="C57" s="9"/>
      <c r="D57" s="15"/>
      <c r="E57" s="9"/>
      <c r="F57" s="9" t="s">
        <v>110</v>
      </c>
      <c r="G57" s="9" t="s">
        <v>111</v>
      </c>
      <c r="H57" s="126">
        <f aca="true" t="shared" si="2" ref="H57:H77">I57</f>
        <v>0</v>
      </c>
      <c r="I57" s="78"/>
      <c r="J57" s="78"/>
      <c r="K57" s="107" t="s">
        <v>76</v>
      </c>
      <c r="L57" s="107" t="s">
        <v>76</v>
      </c>
      <c r="M57" s="107" t="s">
        <v>76</v>
      </c>
      <c r="N57" s="107" t="s">
        <v>76</v>
      </c>
      <c r="O57" s="6" t="s">
        <v>76</v>
      </c>
    </row>
    <row r="58" spans="1:15" s="25" customFormat="1" ht="12.75">
      <c r="A58" s="81" t="s">
        <v>6</v>
      </c>
      <c r="B58" s="9"/>
      <c r="C58" s="6" t="s">
        <v>18</v>
      </c>
      <c r="D58" s="14">
        <v>14130030000000000</v>
      </c>
      <c r="E58" s="6" t="s">
        <v>108</v>
      </c>
      <c r="F58" s="6" t="s">
        <v>112</v>
      </c>
      <c r="G58" s="6" t="s">
        <v>113</v>
      </c>
      <c r="H58" s="126">
        <f t="shared" si="2"/>
        <v>3855000</v>
      </c>
      <c r="I58" s="78">
        <v>3855000</v>
      </c>
      <c r="J58" s="78"/>
      <c r="K58" s="107" t="s">
        <v>76</v>
      </c>
      <c r="L58" s="107" t="s">
        <v>76</v>
      </c>
      <c r="M58" s="107" t="s">
        <v>76</v>
      </c>
      <c r="N58" s="107" t="s">
        <v>76</v>
      </c>
      <c r="O58" s="6" t="s">
        <v>76</v>
      </c>
    </row>
    <row r="59" spans="1:15" s="25" customFormat="1" ht="12.75" hidden="1">
      <c r="A59" s="86"/>
      <c r="B59" s="12"/>
      <c r="C59" s="60"/>
      <c r="D59" s="30">
        <v>14130030000000000</v>
      </c>
      <c r="E59" s="29"/>
      <c r="F59" s="31"/>
      <c r="G59" s="31"/>
      <c r="H59" s="126">
        <f t="shared" si="2"/>
        <v>0</v>
      </c>
      <c r="I59" s="78"/>
      <c r="J59" s="100"/>
      <c r="K59" s="101" t="s">
        <v>76</v>
      </c>
      <c r="L59" s="101" t="s">
        <v>76</v>
      </c>
      <c r="M59" s="101" t="s">
        <v>76</v>
      </c>
      <c r="N59" s="101" t="s">
        <v>76</v>
      </c>
      <c r="O59" s="6"/>
    </row>
    <row r="60" spans="1:15" s="25" customFormat="1" ht="13.5" customHeight="1">
      <c r="A60" s="691" t="s">
        <v>7</v>
      </c>
      <c r="B60" s="9"/>
      <c r="C60" s="693" t="s">
        <v>18</v>
      </c>
      <c r="D60" s="9" t="s">
        <v>81</v>
      </c>
      <c r="E60" s="9" t="s">
        <v>108</v>
      </c>
      <c r="F60" s="693" t="s">
        <v>114</v>
      </c>
      <c r="G60" s="9" t="s">
        <v>115</v>
      </c>
      <c r="H60" s="126">
        <f t="shared" si="2"/>
        <v>32600</v>
      </c>
      <c r="I60" s="113">
        <v>32600</v>
      </c>
      <c r="J60" s="100"/>
      <c r="K60" s="101" t="s">
        <v>76</v>
      </c>
      <c r="L60" s="101" t="s">
        <v>76</v>
      </c>
      <c r="M60" s="101" t="s">
        <v>76</v>
      </c>
      <c r="N60" s="101" t="s">
        <v>76</v>
      </c>
      <c r="O60" s="6" t="s">
        <v>76</v>
      </c>
    </row>
    <row r="61" spans="1:15" s="25" customFormat="1" ht="12.75" customHeight="1" hidden="1">
      <c r="A61" s="696"/>
      <c r="B61" s="9"/>
      <c r="C61" s="697"/>
      <c r="D61" s="15"/>
      <c r="E61" s="9"/>
      <c r="F61" s="697"/>
      <c r="G61" s="9" t="s">
        <v>115</v>
      </c>
      <c r="H61" s="126">
        <f t="shared" si="2"/>
        <v>0</v>
      </c>
      <c r="I61" s="78"/>
      <c r="J61" s="100"/>
      <c r="K61" s="101" t="s">
        <v>76</v>
      </c>
      <c r="L61" s="101" t="s">
        <v>76</v>
      </c>
      <c r="M61" s="101" t="s">
        <v>76</v>
      </c>
      <c r="N61" s="101" t="s">
        <v>76</v>
      </c>
      <c r="O61" s="6" t="s">
        <v>76</v>
      </c>
    </row>
    <row r="62" spans="1:15" s="25" customFormat="1" ht="12.75" customHeight="1" hidden="1">
      <c r="A62" s="696"/>
      <c r="B62" s="9"/>
      <c r="C62" s="697"/>
      <c r="D62" s="15"/>
      <c r="E62" s="9"/>
      <c r="F62" s="697"/>
      <c r="G62" s="9"/>
      <c r="H62" s="126">
        <f t="shared" si="2"/>
        <v>0</v>
      </c>
      <c r="I62" s="78"/>
      <c r="J62" s="100"/>
      <c r="K62" s="101" t="s">
        <v>76</v>
      </c>
      <c r="L62" s="101" t="s">
        <v>76</v>
      </c>
      <c r="M62" s="101" t="s">
        <v>76</v>
      </c>
      <c r="N62" s="101" t="s">
        <v>76</v>
      </c>
      <c r="O62" s="6" t="s">
        <v>76</v>
      </c>
    </row>
    <row r="63" spans="1:15" s="25" customFormat="1" ht="12.75" customHeight="1" hidden="1">
      <c r="A63" s="696"/>
      <c r="B63" s="9"/>
      <c r="C63" s="697"/>
      <c r="D63" s="15"/>
      <c r="E63" s="9"/>
      <c r="F63" s="697"/>
      <c r="G63" s="9"/>
      <c r="H63" s="126">
        <f t="shared" si="2"/>
        <v>0</v>
      </c>
      <c r="I63" s="78"/>
      <c r="J63" s="100"/>
      <c r="K63" s="101" t="s">
        <v>76</v>
      </c>
      <c r="L63" s="101" t="s">
        <v>76</v>
      </c>
      <c r="M63" s="101" t="s">
        <v>76</v>
      </c>
      <c r="N63" s="101" t="s">
        <v>76</v>
      </c>
      <c r="O63" s="6" t="s">
        <v>76</v>
      </c>
    </row>
    <row r="64" spans="1:15" s="25" customFormat="1" ht="12.75" customHeight="1" hidden="1">
      <c r="A64" s="696"/>
      <c r="B64" s="9"/>
      <c r="C64" s="697"/>
      <c r="D64" s="15"/>
      <c r="E64" s="9"/>
      <c r="F64" s="697"/>
      <c r="G64" s="9"/>
      <c r="H64" s="126">
        <f t="shared" si="2"/>
        <v>0</v>
      </c>
      <c r="I64" s="78"/>
      <c r="J64" s="100"/>
      <c r="K64" s="101" t="s">
        <v>76</v>
      </c>
      <c r="L64" s="101" t="s">
        <v>76</v>
      </c>
      <c r="M64" s="101" t="s">
        <v>76</v>
      </c>
      <c r="N64" s="101" t="s">
        <v>76</v>
      </c>
      <c r="O64" s="6" t="s">
        <v>76</v>
      </c>
    </row>
    <row r="65" spans="1:15" s="25" customFormat="1" ht="12.75" customHeight="1">
      <c r="A65" s="692"/>
      <c r="B65" s="9"/>
      <c r="C65" s="694"/>
      <c r="D65" s="14">
        <v>14130030000000000</v>
      </c>
      <c r="E65" s="9" t="s">
        <v>108</v>
      </c>
      <c r="F65" s="694"/>
      <c r="G65" s="9" t="s">
        <v>115</v>
      </c>
      <c r="H65" s="126">
        <f t="shared" si="2"/>
        <v>30000</v>
      </c>
      <c r="I65" s="106">
        <v>30000</v>
      </c>
      <c r="J65" s="100"/>
      <c r="K65" s="101" t="s">
        <v>76</v>
      </c>
      <c r="L65" s="101"/>
      <c r="M65" s="101"/>
      <c r="N65" s="101" t="s">
        <v>76</v>
      </c>
      <c r="O65" s="6"/>
    </row>
    <row r="66" spans="1:15" s="25" customFormat="1" ht="12.75" customHeight="1">
      <c r="A66" s="16" t="s">
        <v>8</v>
      </c>
      <c r="B66" s="9"/>
      <c r="C66" s="6" t="s">
        <v>18</v>
      </c>
      <c r="D66" s="9" t="s">
        <v>81</v>
      </c>
      <c r="E66" s="10" t="s">
        <v>108</v>
      </c>
      <c r="F66" s="11" t="s">
        <v>128</v>
      </c>
      <c r="G66" s="10" t="s">
        <v>115</v>
      </c>
      <c r="H66" s="126">
        <f t="shared" si="2"/>
        <v>102000</v>
      </c>
      <c r="I66" s="113">
        <v>102000</v>
      </c>
      <c r="J66" s="100"/>
      <c r="K66" s="101" t="s">
        <v>76</v>
      </c>
      <c r="L66" s="101"/>
      <c r="M66" s="101"/>
      <c r="N66" s="101" t="s">
        <v>76</v>
      </c>
      <c r="O66" s="6"/>
    </row>
    <row r="67" spans="1:15" s="25" customFormat="1" ht="12.75">
      <c r="A67" s="684" t="s">
        <v>12</v>
      </c>
      <c r="B67" s="9"/>
      <c r="C67" s="693" t="s">
        <v>18</v>
      </c>
      <c r="D67" s="9" t="s">
        <v>81</v>
      </c>
      <c r="E67" s="693" t="s">
        <v>108</v>
      </c>
      <c r="F67" s="693" t="s">
        <v>116</v>
      </c>
      <c r="G67" s="693" t="s">
        <v>115</v>
      </c>
      <c r="H67" s="126">
        <f t="shared" si="2"/>
        <v>272300</v>
      </c>
      <c r="I67" s="113">
        <f>216300+56000</f>
        <v>272300</v>
      </c>
      <c r="J67" s="100"/>
      <c r="K67" s="101" t="s">
        <v>76</v>
      </c>
      <c r="L67" s="101" t="s">
        <v>76</v>
      </c>
      <c r="M67" s="101" t="s">
        <v>76</v>
      </c>
      <c r="N67" s="101" t="s">
        <v>76</v>
      </c>
      <c r="O67" s="6" t="s">
        <v>76</v>
      </c>
    </row>
    <row r="68" spans="1:15" s="25" customFormat="1" ht="12.75" hidden="1">
      <c r="A68" s="686"/>
      <c r="B68" s="9"/>
      <c r="C68" s="694"/>
      <c r="D68" s="14">
        <v>14130030000000000</v>
      </c>
      <c r="E68" s="694"/>
      <c r="F68" s="694"/>
      <c r="G68" s="694"/>
      <c r="H68" s="126">
        <f t="shared" si="2"/>
        <v>0</v>
      </c>
      <c r="I68" s="79"/>
      <c r="J68" s="100"/>
      <c r="K68" s="101" t="s">
        <v>76</v>
      </c>
      <c r="L68" s="101" t="s">
        <v>76</v>
      </c>
      <c r="M68" s="101" t="s">
        <v>76</v>
      </c>
      <c r="N68" s="101" t="s">
        <v>76</v>
      </c>
      <c r="O68" s="6"/>
    </row>
    <row r="69" spans="1:15" s="25" customFormat="1" ht="12.75" hidden="1">
      <c r="A69" s="22" t="s">
        <v>13</v>
      </c>
      <c r="B69" s="9"/>
      <c r="C69" s="9"/>
      <c r="D69" s="15"/>
      <c r="E69" s="9"/>
      <c r="F69" s="9" t="s">
        <v>117</v>
      </c>
      <c r="G69" s="9" t="s">
        <v>115</v>
      </c>
      <c r="H69" s="126">
        <f t="shared" si="2"/>
        <v>0</v>
      </c>
      <c r="I69" s="78"/>
      <c r="J69" s="100"/>
      <c r="K69" s="101" t="s">
        <v>76</v>
      </c>
      <c r="L69" s="101" t="s">
        <v>76</v>
      </c>
      <c r="M69" s="101" t="s">
        <v>76</v>
      </c>
      <c r="N69" s="101" t="s">
        <v>76</v>
      </c>
      <c r="O69" s="6" t="s">
        <v>76</v>
      </c>
    </row>
    <row r="70" spans="1:15" s="25" customFormat="1" ht="25.5">
      <c r="A70" s="22" t="s">
        <v>245</v>
      </c>
      <c r="B70" s="9"/>
      <c r="C70" s="9" t="s">
        <v>18</v>
      </c>
      <c r="D70" s="14">
        <v>14130010000000000</v>
      </c>
      <c r="E70" s="9" t="s">
        <v>108</v>
      </c>
      <c r="F70" s="9" t="s">
        <v>246</v>
      </c>
      <c r="G70" s="10" t="s">
        <v>109</v>
      </c>
      <c r="H70" s="126">
        <f>I70</f>
        <v>25500</v>
      </c>
      <c r="I70" s="78">
        <v>25500</v>
      </c>
      <c r="J70" s="100"/>
      <c r="K70" s="101" t="s">
        <v>76</v>
      </c>
      <c r="L70" s="101" t="s">
        <v>76</v>
      </c>
      <c r="M70" s="101" t="s">
        <v>76</v>
      </c>
      <c r="N70" s="101" t="s">
        <v>76</v>
      </c>
      <c r="O70" s="6"/>
    </row>
    <row r="71" spans="1:15" s="25" customFormat="1" ht="12.75" hidden="1">
      <c r="A71" s="22" t="s">
        <v>14</v>
      </c>
      <c r="B71" s="9"/>
      <c r="C71" s="9" t="s">
        <v>18</v>
      </c>
      <c r="D71" s="14">
        <v>14130030000000000</v>
      </c>
      <c r="E71" s="695" t="s">
        <v>108</v>
      </c>
      <c r="F71" s="9" t="s">
        <v>118</v>
      </c>
      <c r="G71" s="9" t="s">
        <v>115</v>
      </c>
      <c r="H71" s="126">
        <f t="shared" si="2"/>
        <v>0</v>
      </c>
      <c r="I71" s="79"/>
      <c r="J71" s="100"/>
      <c r="K71" s="101" t="s">
        <v>76</v>
      </c>
      <c r="L71" s="101" t="s">
        <v>76</v>
      </c>
      <c r="M71" s="101" t="s">
        <v>76</v>
      </c>
      <c r="N71" s="101" t="s">
        <v>76</v>
      </c>
      <c r="O71" s="6" t="s">
        <v>76</v>
      </c>
    </row>
    <row r="72" spans="1:15" s="25" customFormat="1" ht="51" hidden="1">
      <c r="A72" s="82" t="s">
        <v>237</v>
      </c>
      <c r="B72" s="9"/>
      <c r="C72" s="83" t="s">
        <v>18</v>
      </c>
      <c r="D72" s="9" t="s">
        <v>81</v>
      </c>
      <c r="E72" s="695"/>
      <c r="F72" s="84" t="s">
        <v>238</v>
      </c>
      <c r="G72" s="84" t="s">
        <v>115</v>
      </c>
      <c r="H72" s="126">
        <f t="shared" si="2"/>
        <v>0</v>
      </c>
      <c r="I72" s="113"/>
      <c r="J72" s="100"/>
      <c r="K72" s="101" t="s">
        <v>76</v>
      </c>
      <c r="L72" s="101" t="s">
        <v>76</v>
      </c>
      <c r="M72" s="101" t="s">
        <v>76</v>
      </c>
      <c r="N72" s="101" t="s">
        <v>76</v>
      </c>
      <c r="O72" s="6"/>
    </row>
    <row r="73" spans="1:15" s="25" customFormat="1" ht="38.25">
      <c r="A73" s="82" t="s">
        <v>239</v>
      </c>
      <c r="B73" s="9"/>
      <c r="C73" s="83" t="s">
        <v>18</v>
      </c>
      <c r="D73" s="9" t="s">
        <v>81</v>
      </c>
      <c r="E73" s="83" t="s">
        <v>108</v>
      </c>
      <c r="F73" s="84" t="s">
        <v>240</v>
      </c>
      <c r="G73" s="84" t="s">
        <v>115</v>
      </c>
      <c r="H73" s="126">
        <f t="shared" si="2"/>
        <v>1400</v>
      </c>
      <c r="I73" s="106">
        <v>1400</v>
      </c>
      <c r="J73" s="100"/>
      <c r="K73" s="101" t="s">
        <v>76</v>
      </c>
      <c r="L73" s="101" t="s">
        <v>76</v>
      </c>
      <c r="M73" s="101" t="s">
        <v>76</v>
      </c>
      <c r="N73" s="101" t="s">
        <v>76</v>
      </c>
      <c r="O73" s="6"/>
    </row>
    <row r="74" spans="1:15" s="25" customFormat="1" ht="25.5">
      <c r="A74" s="22" t="s">
        <v>241</v>
      </c>
      <c r="B74" s="9"/>
      <c r="C74" s="9" t="s">
        <v>18</v>
      </c>
      <c r="D74" s="14">
        <v>14130030000000000</v>
      </c>
      <c r="E74" s="10" t="s">
        <v>108</v>
      </c>
      <c r="F74" s="9" t="s">
        <v>242</v>
      </c>
      <c r="G74" s="9" t="s">
        <v>115</v>
      </c>
      <c r="H74" s="126">
        <f t="shared" si="2"/>
        <v>40000</v>
      </c>
      <c r="I74" s="376">
        <f>20000+20000</f>
        <v>40000</v>
      </c>
      <c r="J74" s="100"/>
      <c r="K74" s="101" t="s">
        <v>76</v>
      </c>
      <c r="L74" s="101" t="s">
        <v>76</v>
      </c>
      <c r="M74" s="101" t="s">
        <v>76</v>
      </c>
      <c r="N74" s="101" t="s">
        <v>76</v>
      </c>
      <c r="O74" s="6"/>
    </row>
    <row r="75" spans="1:15" s="25" customFormat="1" ht="25.5">
      <c r="A75" s="394" t="s">
        <v>243</v>
      </c>
      <c r="B75" s="6"/>
      <c r="C75" s="6" t="s">
        <v>18</v>
      </c>
      <c r="D75" s="395">
        <v>14130030000000000</v>
      </c>
      <c r="E75" s="6" t="s">
        <v>108</v>
      </c>
      <c r="F75" s="6" t="s">
        <v>244</v>
      </c>
      <c r="G75" s="6" t="s">
        <v>115</v>
      </c>
      <c r="H75" s="126">
        <f t="shared" si="2"/>
        <v>0</v>
      </c>
      <c r="I75" s="376">
        <f>20000-20000</f>
        <v>0</v>
      </c>
      <c r="J75" s="107"/>
      <c r="K75" s="107" t="s">
        <v>76</v>
      </c>
      <c r="L75" s="107" t="s">
        <v>76</v>
      </c>
      <c r="M75" s="107" t="s">
        <v>76</v>
      </c>
      <c r="N75" s="107" t="s">
        <v>76</v>
      </c>
      <c r="O75" s="6"/>
    </row>
    <row r="76" spans="1:15" s="25" customFormat="1" ht="12.75" hidden="1">
      <c r="A76" s="691" t="s">
        <v>188</v>
      </c>
      <c r="B76" s="9"/>
      <c r="C76" s="693" t="s">
        <v>18</v>
      </c>
      <c r="D76" s="9" t="s">
        <v>81</v>
      </c>
      <c r="E76" s="693" t="s">
        <v>108</v>
      </c>
      <c r="F76" s="693" t="s">
        <v>119</v>
      </c>
      <c r="G76" s="693" t="s">
        <v>115</v>
      </c>
      <c r="H76" s="126">
        <f t="shared" si="2"/>
        <v>0</v>
      </c>
      <c r="I76" s="78"/>
      <c r="J76" s="100"/>
      <c r="K76" s="101" t="s">
        <v>76</v>
      </c>
      <c r="L76" s="101" t="s">
        <v>76</v>
      </c>
      <c r="M76" s="101" t="s">
        <v>76</v>
      </c>
      <c r="N76" s="101" t="s">
        <v>76</v>
      </c>
      <c r="O76" s="6"/>
    </row>
    <row r="77" spans="1:15" s="25" customFormat="1" ht="12.75" hidden="1">
      <c r="A77" s="692"/>
      <c r="B77" s="9"/>
      <c r="C77" s="694"/>
      <c r="D77" s="14">
        <v>14130030000000000</v>
      </c>
      <c r="E77" s="694"/>
      <c r="F77" s="694"/>
      <c r="G77" s="694"/>
      <c r="H77" s="126">
        <f t="shared" si="2"/>
        <v>0</v>
      </c>
      <c r="I77" s="79"/>
      <c r="J77" s="100"/>
      <c r="K77" s="101" t="s">
        <v>76</v>
      </c>
      <c r="L77" s="101" t="s">
        <v>76</v>
      </c>
      <c r="M77" s="101" t="s">
        <v>76</v>
      </c>
      <c r="N77" s="101" t="s">
        <v>76</v>
      </c>
      <c r="O77" s="6" t="s">
        <v>76</v>
      </c>
    </row>
    <row r="78" spans="1:15" s="25" customFormat="1" ht="27.75" customHeight="1">
      <c r="A78" s="681" t="s">
        <v>189</v>
      </c>
      <c r="B78" s="683"/>
      <c r="C78" s="27" t="s">
        <v>20</v>
      </c>
      <c r="D78" s="3"/>
      <c r="E78" s="27"/>
      <c r="F78" s="3"/>
      <c r="G78" s="3"/>
      <c r="H78" s="124">
        <f>I78</f>
        <v>3949039</v>
      </c>
      <c r="I78" s="97">
        <f>SUM(I79:I95)</f>
        <v>3949039</v>
      </c>
      <c r="J78" s="110"/>
      <c r="K78" s="111" t="s">
        <v>107</v>
      </c>
      <c r="L78" s="111"/>
      <c r="M78" s="111"/>
      <c r="N78" s="111" t="s">
        <v>107</v>
      </c>
      <c r="O78" s="28"/>
    </row>
    <row r="79" spans="1:15" s="25" customFormat="1" ht="15" customHeight="1">
      <c r="A79" s="22" t="s">
        <v>9</v>
      </c>
      <c r="B79" s="9"/>
      <c r="C79" s="9" t="s">
        <v>20</v>
      </c>
      <c r="D79" s="9" t="s">
        <v>81</v>
      </c>
      <c r="E79" s="9" t="s">
        <v>108</v>
      </c>
      <c r="F79" s="9" t="s">
        <v>120</v>
      </c>
      <c r="G79" s="9" t="s">
        <v>115</v>
      </c>
      <c r="H79" s="126">
        <f>I79</f>
        <v>934139</v>
      </c>
      <c r="I79" s="78">
        <f>1083500-149361</f>
        <v>934139</v>
      </c>
      <c r="J79" s="78"/>
      <c r="K79" s="107" t="s">
        <v>76</v>
      </c>
      <c r="L79" s="107" t="s">
        <v>76</v>
      </c>
      <c r="M79" s="107" t="s">
        <v>76</v>
      </c>
      <c r="N79" s="107" t="s">
        <v>76</v>
      </c>
      <c r="O79" s="6" t="s">
        <v>76</v>
      </c>
    </row>
    <row r="80" spans="1:15" s="25" customFormat="1" ht="15" customHeight="1">
      <c r="A80" s="82" t="s">
        <v>8</v>
      </c>
      <c r="B80" s="9"/>
      <c r="C80" s="9" t="s">
        <v>20</v>
      </c>
      <c r="D80" s="9" t="s">
        <v>81</v>
      </c>
      <c r="E80" s="10" t="s">
        <v>108</v>
      </c>
      <c r="F80" s="10" t="s">
        <v>128</v>
      </c>
      <c r="G80" s="10" t="s">
        <v>115</v>
      </c>
      <c r="H80" s="126">
        <f>I80</f>
        <v>17547.48</v>
      </c>
      <c r="I80" s="78">
        <v>17547.48</v>
      </c>
      <c r="J80" s="78"/>
      <c r="K80" s="107"/>
      <c r="L80" s="107"/>
      <c r="M80" s="107"/>
      <c r="N80" s="107"/>
      <c r="O80" s="6"/>
    </row>
    <row r="81" spans="1:15" s="25" customFormat="1" ht="15" customHeight="1">
      <c r="A81" s="691" t="s">
        <v>11</v>
      </c>
      <c r="B81" s="9"/>
      <c r="C81" s="693" t="s">
        <v>20</v>
      </c>
      <c r="D81" s="9" t="s">
        <v>81</v>
      </c>
      <c r="E81" s="693" t="s">
        <v>108</v>
      </c>
      <c r="F81" s="693" t="s">
        <v>121</v>
      </c>
      <c r="G81" s="693" t="s">
        <v>115</v>
      </c>
      <c r="H81" s="126">
        <f aca="true" t="shared" si="3" ref="H81:H95">I81</f>
        <v>231900</v>
      </c>
      <c r="I81" s="112">
        <f>246900-15000</f>
        <v>231900</v>
      </c>
      <c r="J81" s="78"/>
      <c r="K81" s="107" t="s">
        <v>76</v>
      </c>
      <c r="L81" s="107" t="s">
        <v>76</v>
      </c>
      <c r="M81" s="107" t="s">
        <v>76</v>
      </c>
      <c r="N81" s="107" t="s">
        <v>76</v>
      </c>
      <c r="O81" s="6" t="s">
        <v>76</v>
      </c>
    </row>
    <row r="82" spans="1:15" s="25" customFormat="1" ht="12.75">
      <c r="A82" s="692"/>
      <c r="B82" s="9"/>
      <c r="C82" s="694"/>
      <c r="D82" s="14">
        <v>14130030000000000</v>
      </c>
      <c r="E82" s="694"/>
      <c r="F82" s="694"/>
      <c r="G82" s="694"/>
      <c r="H82" s="126">
        <f t="shared" si="3"/>
        <v>2020000</v>
      </c>
      <c r="I82" s="112">
        <v>2020000</v>
      </c>
      <c r="J82" s="362"/>
      <c r="K82" s="107" t="s">
        <v>76</v>
      </c>
      <c r="L82" s="107"/>
      <c r="M82" s="107"/>
      <c r="N82" s="107" t="s">
        <v>76</v>
      </c>
      <c r="O82" s="6"/>
    </row>
    <row r="83" spans="1:15" s="25" customFormat="1" ht="12.75">
      <c r="A83" s="691" t="s">
        <v>12</v>
      </c>
      <c r="B83" s="9"/>
      <c r="C83" s="693" t="s">
        <v>20</v>
      </c>
      <c r="D83" s="9" t="s">
        <v>81</v>
      </c>
      <c r="E83" s="693" t="s">
        <v>108</v>
      </c>
      <c r="F83" s="693" t="s">
        <v>116</v>
      </c>
      <c r="G83" s="693" t="s">
        <v>115</v>
      </c>
      <c r="H83" s="126">
        <f t="shared" si="3"/>
        <v>82352.52</v>
      </c>
      <c r="I83" s="78">
        <f>99900-17547.48</f>
        <v>82352.52</v>
      </c>
      <c r="J83" s="78"/>
      <c r="K83" s="107" t="s">
        <v>76</v>
      </c>
      <c r="L83" s="107" t="s">
        <v>76</v>
      </c>
      <c r="M83" s="107" t="s">
        <v>76</v>
      </c>
      <c r="N83" s="107" t="s">
        <v>76</v>
      </c>
      <c r="O83" s="6" t="s">
        <v>76</v>
      </c>
    </row>
    <row r="84" spans="1:15" s="25" customFormat="1" ht="12.75">
      <c r="A84" s="692"/>
      <c r="B84" s="9"/>
      <c r="C84" s="694"/>
      <c r="D84" s="14">
        <v>14130030000000000</v>
      </c>
      <c r="E84" s="694"/>
      <c r="F84" s="694"/>
      <c r="G84" s="694"/>
      <c r="H84" s="126">
        <f t="shared" si="3"/>
        <v>534800</v>
      </c>
      <c r="I84" s="115">
        <v>534800</v>
      </c>
      <c r="J84" s="78"/>
      <c r="K84" s="107" t="s">
        <v>76</v>
      </c>
      <c r="L84" s="107"/>
      <c r="M84" s="107"/>
      <c r="N84" s="107" t="s">
        <v>76</v>
      </c>
      <c r="O84" s="6"/>
    </row>
    <row r="85" spans="1:15" s="25" customFormat="1" ht="12.75">
      <c r="A85" s="22" t="s">
        <v>249</v>
      </c>
      <c r="B85" s="9"/>
      <c r="C85" s="9" t="s">
        <v>20</v>
      </c>
      <c r="D85" s="9" t="s">
        <v>81</v>
      </c>
      <c r="E85" s="9" t="s">
        <v>108</v>
      </c>
      <c r="F85" s="9" t="s">
        <v>206</v>
      </c>
      <c r="G85" s="9" t="s">
        <v>122</v>
      </c>
      <c r="H85" s="126">
        <f t="shared" si="3"/>
        <v>55400</v>
      </c>
      <c r="I85" s="78">
        <v>55400</v>
      </c>
      <c r="J85" s="78"/>
      <c r="K85" s="107" t="s">
        <v>76</v>
      </c>
      <c r="L85" s="107" t="s">
        <v>76</v>
      </c>
      <c r="M85" s="107" t="s">
        <v>76</v>
      </c>
      <c r="N85" s="107" t="s">
        <v>76</v>
      </c>
      <c r="O85" s="6" t="s">
        <v>76</v>
      </c>
    </row>
    <row r="86" spans="1:15" s="25" customFormat="1" ht="12.75">
      <c r="A86" s="22" t="s">
        <v>249</v>
      </c>
      <c r="B86" s="9"/>
      <c r="C86" s="9" t="s">
        <v>20</v>
      </c>
      <c r="D86" s="9" t="s">
        <v>81</v>
      </c>
      <c r="E86" s="9" t="s">
        <v>108</v>
      </c>
      <c r="F86" s="9" t="s">
        <v>206</v>
      </c>
      <c r="G86" s="9" t="s">
        <v>250</v>
      </c>
      <c r="H86" s="126">
        <f t="shared" si="3"/>
        <v>4800</v>
      </c>
      <c r="I86" s="79">
        <v>4800</v>
      </c>
      <c r="J86" s="78"/>
      <c r="K86" s="107" t="s">
        <v>76</v>
      </c>
      <c r="L86" s="107" t="s">
        <v>76</v>
      </c>
      <c r="M86" s="107" t="s">
        <v>76</v>
      </c>
      <c r="N86" s="107" t="s">
        <v>76</v>
      </c>
      <c r="O86" s="6" t="s">
        <v>76</v>
      </c>
    </row>
    <row r="87" spans="1:15" s="25" customFormat="1" ht="12.75" hidden="1">
      <c r="A87" s="22" t="s">
        <v>14</v>
      </c>
      <c r="B87" s="9"/>
      <c r="C87" s="9" t="s">
        <v>20</v>
      </c>
      <c r="D87" s="9" t="s">
        <v>81</v>
      </c>
      <c r="E87" s="9" t="s">
        <v>124</v>
      </c>
      <c r="F87" s="9" t="s">
        <v>118</v>
      </c>
      <c r="G87" s="9" t="s">
        <v>115</v>
      </c>
      <c r="H87" s="126">
        <f t="shared" si="3"/>
        <v>0</v>
      </c>
      <c r="I87" s="78"/>
      <c r="J87" s="78"/>
      <c r="K87" s="107" t="s">
        <v>76</v>
      </c>
      <c r="L87" s="107" t="s">
        <v>76</v>
      </c>
      <c r="M87" s="107" t="s">
        <v>76</v>
      </c>
      <c r="N87" s="107" t="s">
        <v>76</v>
      </c>
      <c r="O87" s="6" t="s">
        <v>76</v>
      </c>
    </row>
    <row r="88" spans="1:15" s="25" customFormat="1" ht="51" hidden="1">
      <c r="A88" s="82" t="s">
        <v>237</v>
      </c>
      <c r="B88" s="9"/>
      <c r="C88" s="83" t="s">
        <v>18</v>
      </c>
      <c r="D88" s="9" t="s">
        <v>81</v>
      </c>
      <c r="E88" s="83" t="s">
        <v>124</v>
      </c>
      <c r="F88" s="84" t="s">
        <v>238</v>
      </c>
      <c r="G88" s="84" t="s">
        <v>115</v>
      </c>
      <c r="H88" s="126">
        <f t="shared" si="3"/>
        <v>0</v>
      </c>
      <c r="I88" s="78"/>
      <c r="J88" s="78"/>
      <c r="K88" s="107" t="s">
        <v>76</v>
      </c>
      <c r="L88" s="107" t="s">
        <v>76</v>
      </c>
      <c r="M88" s="107" t="s">
        <v>76</v>
      </c>
      <c r="N88" s="107" t="s">
        <v>76</v>
      </c>
      <c r="O88" s="6"/>
    </row>
    <row r="89" spans="1:15" s="25" customFormat="1" ht="38.25" hidden="1">
      <c r="A89" s="82" t="s">
        <v>239</v>
      </c>
      <c r="B89" s="9"/>
      <c r="C89" s="83" t="s">
        <v>18</v>
      </c>
      <c r="D89" s="9" t="s">
        <v>81</v>
      </c>
      <c r="E89" s="83" t="s">
        <v>124</v>
      </c>
      <c r="F89" s="84" t="s">
        <v>240</v>
      </c>
      <c r="G89" s="84" t="s">
        <v>115</v>
      </c>
      <c r="H89" s="126">
        <f t="shared" si="3"/>
        <v>0</v>
      </c>
      <c r="I89" s="78"/>
      <c r="J89" s="78"/>
      <c r="K89" s="107" t="s">
        <v>76</v>
      </c>
      <c r="L89" s="107" t="s">
        <v>76</v>
      </c>
      <c r="M89" s="107" t="s">
        <v>76</v>
      </c>
      <c r="N89" s="107" t="s">
        <v>76</v>
      </c>
      <c r="O89" s="6"/>
    </row>
    <row r="90" spans="1:15" s="25" customFormat="1" ht="25.5">
      <c r="A90" s="85" t="s">
        <v>248</v>
      </c>
      <c r="B90" s="9"/>
      <c r="C90" s="9" t="s">
        <v>20</v>
      </c>
      <c r="D90" s="9" t="s">
        <v>81</v>
      </c>
      <c r="E90" s="83" t="s">
        <v>108</v>
      </c>
      <c r="F90" s="10" t="s">
        <v>247</v>
      </c>
      <c r="G90" s="84" t="s">
        <v>115</v>
      </c>
      <c r="H90" s="126">
        <f t="shared" si="3"/>
        <v>20000</v>
      </c>
      <c r="I90" s="309">
        <f>10000+10000+15000-15000</f>
        <v>20000</v>
      </c>
      <c r="J90" s="78"/>
      <c r="K90" s="107" t="s">
        <v>76</v>
      </c>
      <c r="L90" s="107" t="s">
        <v>76</v>
      </c>
      <c r="M90" s="107" t="s">
        <v>76</v>
      </c>
      <c r="N90" s="107" t="s">
        <v>76</v>
      </c>
      <c r="O90" s="6"/>
    </row>
    <row r="91" spans="1:15" s="25" customFormat="1" ht="25.5">
      <c r="A91" s="22" t="s">
        <v>241</v>
      </c>
      <c r="B91" s="9"/>
      <c r="C91" s="9" t="s">
        <v>20</v>
      </c>
      <c r="D91" s="9" t="s">
        <v>81</v>
      </c>
      <c r="E91" s="9" t="s">
        <v>108</v>
      </c>
      <c r="F91" s="9" t="s">
        <v>242</v>
      </c>
      <c r="G91" s="9" t="s">
        <v>115</v>
      </c>
      <c r="H91" s="126">
        <f t="shared" si="3"/>
        <v>48100</v>
      </c>
      <c r="I91" s="309">
        <f>33100+15000</f>
        <v>48100</v>
      </c>
      <c r="J91" s="78"/>
      <c r="K91" s="107" t="s">
        <v>76</v>
      </c>
      <c r="L91" s="107" t="s">
        <v>76</v>
      </c>
      <c r="M91" s="107" t="s">
        <v>76</v>
      </c>
      <c r="N91" s="107" t="s">
        <v>76</v>
      </c>
      <c r="O91" s="6"/>
    </row>
    <row r="92" spans="1:15" s="25" customFormat="1" ht="25.5" hidden="1">
      <c r="A92" s="85" t="s">
        <v>243</v>
      </c>
      <c r="B92" s="57"/>
      <c r="C92" s="9" t="s">
        <v>20</v>
      </c>
      <c r="D92" s="9" t="s">
        <v>81</v>
      </c>
      <c r="E92" s="9" t="s">
        <v>108</v>
      </c>
      <c r="F92" s="9" t="s">
        <v>244</v>
      </c>
      <c r="G92" s="9" t="s">
        <v>115</v>
      </c>
      <c r="H92" s="126">
        <f t="shared" si="3"/>
        <v>0</v>
      </c>
      <c r="I92" s="78">
        <f>10000-10000</f>
        <v>0</v>
      </c>
      <c r="J92" s="78"/>
      <c r="K92" s="107" t="s">
        <v>76</v>
      </c>
      <c r="L92" s="107" t="s">
        <v>76</v>
      </c>
      <c r="M92" s="107" t="s">
        <v>76</v>
      </c>
      <c r="N92" s="107" t="s">
        <v>76</v>
      </c>
      <c r="O92" s="6"/>
    </row>
    <row r="93" spans="1:15" s="25" customFormat="1" ht="12.75" hidden="1">
      <c r="A93" s="22"/>
      <c r="B93" s="9"/>
      <c r="C93" s="9"/>
      <c r="D93" s="9"/>
      <c r="E93" s="9"/>
      <c r="F93" s="9"/>
      <c r="G93" s="9"/>
      <c r="H93" s="126"/>
      <c r="I93" s="78"/>
      <c r="J93" s="78"/>
      <c r="K93" s="107"/>
      <c r="L93" s="107"/>
      <c r="M93" s="107"/>
      <c r="N93" s="107"/>
      <c r="O93" s="6"/>
    </row>
    <row r="94" spans="1:15" s="25" customFormat="1" ht="12.75" hidden="1">
      <c r="A94" s="22"/>
      <c r="B94" s="9"/>
      <c r="C94" s="9"/>
      <c r="D94" s="9"/>
      <c r="E94" s="9"/>
      <c r="F94" s="9"/>
      <c r="G94" s="9"/>
      <c r="H94" s="126"/>
      <c r="I94" s="78"/>
      <c r="J94" s="78"/>
      <c r="K94" s="107"/>
      <c r="L94" s="107"/>
      <c r="M94" s="107"/>
      <c r="N94" s="107"/>
      <c r="O94" s="6"/>
    </row>
    <row r="95" spans="1:15" s="25" customFormat="1" ht="12.75" hidden="1">
      <c r="A95" s="22" t="s">
        <v>188</v>
      </c>
      <c r="B95" s="9"/>
      <c r="C95" s="9" t="s">
        <v>20</v>
      </c>
      <c r="D95" s="9" t="s">
        <v>81</v>
      </c>
      <c r="E95" s="9" t="s">
        <v>108</v>
      </c>
      <c r="F95" s="9" t="s">
        <v>119</v>
      </c>
      <c r="G95" s="9" t="s">
        <v>115</v>
      </c>
      <c r="H95" s="126">
        <f t="shared" si="3"/>
        <v>0</v>
      </c>
      <c r="I95" s="78"/>
      <c r="J95" s="78"/>
      <c r="K95" s="107" t="s">
        <v>76</v>
      </c>
      <c r="L95" s="107" t="s">
        <v>76</v>
      </c>
      <c r="M95" s="107" t="s">
        <v>76</v>
      </c>
      <c r="N95" s="107" t="s">
        <v>76</v>
      </c>
      <c r="O95" s="6" t="s">
        <v>76</v>
      </c>
    </row>
    <row r="96" spans="1:15" s="25" customFormat="1" ht="13.5">
      <c r="A96" s="681" t="s">
        <v>125</v>
      </c>
      <c r="B96" s="683"/>
      <c r="C96" s="27" t="s">
        <v>21</v>
      </c>
      <c r="D96" s="3"/>
      <c r="E96" s="27"/>
      <c r="F96" s="3"/>
      <c r="G96" s="3"/>
      <c r="H96" s="124">
        <f>K96</f>
        <v>653340</v>
      </c>
      <c r="I96" s="98"/>
      <c r="J96" s="97"/>
      <c r="K96" s="97">
        <f>K99</f>
        <v>653340</v>
      </c>
      <c r="L96" s="110"/>
      <c r="M96" s="110"/>
      <c r="N96" s="111" t="s">
        <v>107</v>
      </c>
      <c r="O96" s="28"/>
    </row>
    <row r="97" spans="1:15" s="25" customFormat="1" ht="12.75" hidden="1">
      <c r="A97" s="22" t="s">
        <v>4</v>
      </c>
      <c r="B97" s="9"/>
      <c r="C97" s="9"/>
      <c r="D97" s="9"/>
      <c r="E97" s="9"/>
      <c r="F97" s="9" t="s">
        <v>99</v>
      </c>
      <c r="G97" s="9" t="s">
        <v>109</v>
      </c>
      <c r="H97" s="126">
        <f>I97</f>
        <v>0</v>
      </c>
      <c r="I97" s="78"/>
      <c r="J97" s="78"/>
      <c r="K97" s="116" t="s">
        <v>76</v>
      </c>
      <c r="L97" s="107" t="s">
        <v>76</v>
      </c>
      <c r="M97" s="107" t="s">
        <v>76</v>
      </c>
      <c r="N97" s="107" t="s">
        <v>76</v>
      </c>
      <c r="O97" s="6" t="s">
        <v>76</v>
      </c>
    </row>
    <row r="98" spans="1:15" s="25" customFormat="1" ht="12.75" hidden="1">
      <c r="A98" s="22" t="s">
        <v>5</v>
      </c>
      <c r="B98" s="9"/>
      <c r="C98" s="9"/>
      <c r="D98" s="9"/>
      <c r="E98" s="9"/>
      <c r="F98" s="9"/>
      <c r="G98" s="9"/>
      <c r="H98" s="126">
        <f>I98</f>
        <v>0</v>
      </c>
      <c r="I98" s="78"/>
      <c r="J98" s="78"/>
      <c r="K98" s="116" t="s">
        <v>76</v>
      </c>
      <c r="L98" s="107" t="s">
        <v>76</v>
      </c>
      <c r="M98" s="107" t="s">
        <v>76</v>
      </c>
      <c r="N98" s="107" t="s">
        <v>76</v>
      </c>
      <c r="O98" s="6" t="s">
        <v>76</v>
      </c>
    </row>
    <row r="99" spans="1:15" s="25" customFormat="1" ht="13.5">
      <c r="A99" s="22" t="s">
        <v>12</v>
      </c>
      <c r="B99" s="9"/>
      <c r="C99" s="41" t="s">
        <v>21</v>
      </c>
      <c r="D99" s="9" t="s">
        <v>89</v>
      </c>
      <c r="E99" s="9" t="s">
        <v>126</v>
      </c>
      <c r="F99" s="9" t="s">
        <v>116</v>
      </c>
      <c r="G99" s="9" t="s">
        <v>115</v>
      </c>
      <c r="H99" s="126">
        <f aca="true" t="shared" si="4" ref="H99:H114">K99</f>
        <v>653340</v>
      </c>
      <c r="I99" s="107" t="s">
        <v>76</v>
      </c>
      <c r="J99" s="78"/>
      <c r="K99" s="391">
        <f>676900-23560</f>
        <v>653340</v>
      </c>
      <c r="L99" s="107" t="s">
        <v>76</v>
      </c>
      <c r="M99" s="107" t="s">
        <v>76</v>
      </c>
      <c r="N99" s="107" t="s">
        <v>76</v>
      </c>
      <c r="O99" s="6" t="s">
        <v>76</v>
      </c>
    </row>
    <row r="100" spans="1:15" s="25" customFormat="1" ht="18.75" customHeight="1" hidden="1">
      <c r="A100" s="687" t="s">
        <v>127</v>
      </c>
      <c r="B100" s="688"/>
      <c r="C100" s="27" t="s">
        <v>22</v>
      </c>
      <c r="D100" s="3"/>
      <c r="E100" s="3"/>
      <c r="F100" s="3"/>
      <c r="G100" s="3"/>
      <c r="H100" s="131">
        <f t="shared" si="4"/>
        <v>0</v>
      </c>
      <c r="I100" s="117"/>
      <c r="J100" s="110"/>
      <c r="K100" s="118">
        <f>K101</f>
        <v>0</v>
      </c>
      <c r="L100" s="117"/>
      <c r="M100" s="117"/>
      <c r="N100" s="117"/>
      <c r="O100" s="6"/>
    </row>
    <row r="101" spans="1:15" s="25" customFormat="1" ht="13.5" customHeight="1" hidden="1">
      <c r="A101" s="22" t="s">
        <v>12</v>
      </c>
      <c r="B101" s="40"/>
      <c r="C101" s="41" t="s">
        <v>22</v>
      </c>
      <c r="D101" s="9" t="s">
        <v>81</v>
      </c>
      <c r="E101" s="9" t="s">
        <v>108</v>
      </c>
      <c r="F101" s="9" t="s">
        <v>116</v>
      </c>
      <c r="G101" s="9" t="s">
        <v>115</v>
      </c>
      <c r="H101" s="126">
        <f t="shared" si="4"/>
        <v>0</v>
      </c>
      <c r="I101" s="107" t="s">
        <v>76</v>
      </c>
      <c r="J101" s="78"/>
      <c r="K101" s="116"/>
      <c r="L101" s="107"/>
      <c r="M101" s="107"/>
      <c r="N101" s="107" t="s">
        <v>76</v>
      </c>
      <c r="O101" s="6"/>
    </row>
    <row r="102" spans="1:15" s="25" customFormat="1" ht="28.5" customHeight="1">
      <c r="A102" s="39" t="s">
        <v>190</v>
      </c>
      <c r="B102" s="55"/>
      <c r="C102" s="27" t="s">
        <v>41</v>
      </c>
      <c r="D102" s="3"/>
      <c r="E102" s="3"/>
      <c r="F102" s="3"/>
      <c r="G102" s="3"/>
      <c r="H102" s="124">
        <f t="shared" si="4"/>
        <v>24000</v>
      </c>
      <c r="I102" s="119"/>
      <c r="J102" s="97"/>
      <c r="K102" s="120">
        <f>K103</f>
        <v>24000</v>
      </c>
      <c r="L102" s="117"/>
      <c r="M102" s="117"/>
      <c r="N102" s="117"/>
      <c r="O102" s="6"/>
    </row>
    <row r="103" spans="1:15" s="25" customFormat="1" ht="12.75">
      <c r="A103" s="22" t="s">
        <v>12</v>
      </c>
      <c r="B103" s="40"/>
      <c r="C103" s="9" t="s">
        <v>41</v>
      </c>
      <c r="D103" s="9" t="s">
        <v>81</v>
      </c>
      <c r="E103" s="9" t="s">
        <v>154</v>
      </c>
      <c r="F103" s="9" t="s">
        <v>116</v>
      </c>
      <c r="G103" s="9" t="s">
        <v>115</v>
      </c>
      <c r="H103" s="126">
        <f t="shared" si="4"/>
        <v>24000</v>
      </c>
      <c r="I103" s="107" t="s">
        <v>76</v>
      </c>
      <c r="J103" s="78"/>
      <c r="K103" s="116">
        <v>24000</v>
      </c>
      <c r="L103" s="107"/>
      <c r="M103" s="107"/>
      <c r="N103" s="107" t="s">
        <v>76</v>
      </c>
      <c r="O103" s="6"/>
    </row>
    <row r="104" spans="1:15" s="25" customFormat="1" ht="36" customHeight="1">
      <c r="A104" s="681" t="s">
        <v>374</v>
      </c>
      <c r="B104" s="683"/>
      <c r="C104" s="27" t="s">
        <v>373</v>
      </c>
      <c r="D104" s="3"/>
      <c r="E104" s="3"/>
      <c r="F104" s="3"/>
      <c r="G104" s="3"/>
      <c r="H104" s="435">
        <f>K104</f>
        <v>60000</v>
      </c>
      <c r="I104" s="436" t="s">
        <v>76</v>
      </c>
      <c r="J104" s="437"/>
      <c r="K104" s="435">
        <f>SUM(K105:K108)</f>
        <v>60000</v>
      </c>
      <c r="L104" s="435">
        <f>SUM(L105:L108)</f>
        <v>0</v>
      </c>
      <c r="M104" s="435">
        <f>SUM(M105:M108)</f>
        <v>0</v>
      </c>
      <c r="N104" s="435"/>
      <c r="O104" s="6"/>
    </row>
    <row r="105" spans="1:15" s="25" customFormat="1" ht="12.75">
      <c r="A105" s="438" t="s">
        <v>335</v>
      </c>
      <c r="B105" s="312"/>
      <c r="C105" s="432" t="s">
        <v>373</v>
      </c>
      <c r="D105" s="439" t="s">
        <v>332</v>
      </c>
      <c r="E105" s="313" t="s">
        <v>108</v>
      </c>
      <c r="F105" s="313" t="s">
        <v>116</v>
      </c>
      <c r="G105" s="313" t="s">
        <v>115</v>
      </c>
      <c r="H105" s="420">
        <f>K105</f>
        <v>43200</v>
      </c>
      <c r="I105" s="315"/>
      <c r="J105" s="309"/>
      <c r="K105" s="316">
        <v>43200</v>
      </c>
      <c r="L105" s="315"/>
      <c r="M105" s="315"/>
      <c r="N105" s="315"/>
      <c r="O105" s="6"/>
    </row>
    <row r="106" spans="1:15" s="25" customFormat="1" ht="12.75">
      <c r="A106" s="438" t="s">
        <v>336</v>
      </c>
      <c r="B106" s="312"/>
      <c r="C106" s="432" t="s">
        <v>373</v>
      </c>
      <c r="D106" s="439" t="s">
        <v>214</v>
      </c>
      <c r="E106" s="313" t="s">
        <v>108</v>
      </c>
      <c r="F106" s="313" t="s">
        <v>116</v>
      </c>
      <c r="G106" s="313" t="s">
        <v>115</v>
      </c>
      <c r="H106" s="420">
        <f>K106</f>
        <v>4800</v>
      </c>
      <c r="I106" s="315"/>
      <c r="J106" s="309"/>
      <c r="K106" s="316">
        <v>4800</v>
      </c>
      <c r="L106" s="315"/>
      <c r="M106" s="315"/>
      <c r="N106" s="315"/>
      <c r="O106" s="6"/>
    </row>
    <row r="107" spans="1:15" s="25" customFormat="1" ht="12.75">
      <c r="A107" s="438" t="s">
        <v>336</v>
      </c>
      <c r="B107" s="312"/>
      <c r="C107" s="432" t="s">
        <v>373</v>
      </c>
      <c r="D107" s="439" t="s">
        <v>333</v>
      </c>
      <c r="E107" s="313" t="s">
        <v>108</v>
      </c>
      <c r="F107" s="313" t="s">
        <v>116</v>
      </c>
      <c r="G107" s="313" t="s">
        <v>115</v>
      </c>
      <c r="H107" s="420">
        <f>K107</f>
        <v>10800</v>
      </c>
      <c r="I107" s="315"/>
      <c r="J107" s="309"/>
      <c r="K107" s="316">
        <v>10800</v>
      </c>
      <c r="L107" s="315"/>
      <c r="M107" s="315"/>
      <c r="N107" s="315"/>
      <c r="O107" s="6"/>
    </row>
    <row r="108" spans="1:15" s="25" customFormat="1" ht="12.75">
      <c r="A108" s="438" t="s">
        <v>337</v>
      </c>
      <c r="B108" s="312"/>
      <c r="C108" s="432" t="s">
        <v>373</v>
      </c>
      <c r="D108" s="439" t="s">
        <v>216</v>
      </c>
      <c r="E108" s="313" t="s">
        <v>108</v>
      </c>
      <c r="F108" s="313" t="s">
        <v>116</v>
      </c>
      <c r="G108" s="313" t="s">
        <v>115</v>
      </c>
      <c r="H108" s="420">
        <f>K108</f>
        <v>1200</v>
      </c>
      <c r="I108" s="315"/>
      <c r="J108" s="309"/>
      <c r="K108" s="316">
        <v>1200</v>
      </c>
      <c r="L108" s="315"/>
      <c r="M108" s="315"/>
      <c r="N108" s="315"/>
      <c r="O108" s="6"/>
    </row>
    <row r="109" spans="1:15" s="25" customFormat="1" ht="41.25" customHeight="1">
      <c r="A109" s="681" t="s">
        <v>334</v>
      </c>
      <c r="B109" s="683"/>
      <c r="C109" s="27" t="s">
        <v>211</v>
      </c>
      <c r="D109" s="3"/>
      <c r="E109" s="3"/>
      <c r="F109" s="3"/>
      <c r="G109" s="3"/>
      <c r="H109" s="124">
        <f t="shared" si="4"/>
        <v>80000</v>
      </c>
      <c r="I109" s="117" t="s">
        <v>76</v>
      </c>
      <c r="J109" s="110"/>
      <c r="K109" s="97">
        <f>SUM(K110:K114)</f>
        <v>80000</v>
      </c>
      <c r="L109" s="117"/>
      <c r="M109" s="117"/>
      <c r="N109" s="117" t="s">
        <v>76</v>
      </c>
      <c r="O109" s="6"/>
    </row>
    <row r="110" spans="1:15" s="25" customFormat="1" ht="12.75">
      <c r="A110" s="22" t="s">
        <v>12</v>
      </c>
      <c r="B110" s="57"/>
      <c r="C110" s="9" t="s">
        <v>204</v>
      </c>
      <c r="D110" s="9" t="s">
        <v>81</v>
      </c>
      <c r="E110" s="9" t="s">
        <v>108</v>
      </c>
      <c r="F110" s="9" t="s">
        <v>116</v>
      </c>
      <c r="G110" s="9" t="s">
        <v>115</v>
      </c>
      <c r="H110" s="126">
        <f t="shared" si="4"/>
        <v>80000</v>
      </c>
      <c r="I110" s="107" t="s">
        <v>76</v>
      </c>
      <c r="J110" s="107"/>
      <c r="K110" s="116">
        <v>80000</v>
      </c>
      <c r="L110" s="107"/>
      <c r="M110" s="107"/>
      <c r="N110" s="107" t="s">
        <v>76</v>
      </c>
      <c r="O110" s="6"/>
    </row>
    <row r="111" spans="1:15" s="25" customFormat="1" ht="12.75">
      <c r="A111" s="438" t="s">
        <v>335</v>
      </c>
      <c r="B111" s="313"/>
      <c r="C111" s="313" t="s">
        <v>211</v>
      </c>
      <c r="D111" s="365" t="s">
        <v>332</v>
      </c>
      <c r="E111" s="313" t="s">
        <v>108</v>
      </c>
      <c r="F111" s="313" t="s">
        <v>116</v>
      </c>
      <c r="G111" s="313" t="s">
        <v>115</v>
      </c>
      <c r="H111" s="314">
        <f t="shared" si="4"/>
        <v>0</v>
      </c>
      <c r="I111" s="315" t="s">
        <v>76</v>
      </c>
      <c r="J111" s="309"/>
      <c r="K111" s="310"/>
      <c r="L111" s="315"/>
      <c r="M111" s="315"/>
      <c r="N111" s="315" t="s">
        <v>76</v>
      </c>
      <c r="O111" s="64" t="s">
        <v>76</v>
      </c>
    </row>
    <row r="112" spans="1:15" s="25" customFormat="1" ht="12.75">
      <c r="A112" s="438" t="s">
        <v>336</v>
      </c>
      <c r="B112" s="313"/>
      <c r="C112" s="313" t="s">
        <v>211</v>
      </c>
      <c r="D112" s="365" t="s">
        <v>214</v>
      </c>
      <c r="E112" s="313" t="s">
        <v>108</v>
      </c>
      <c r="F112" s="313" t="s">
        <v>116</v>
      </c>
      <c r="G112" s="313" t="s">
        <v>115</v>
      </c>
      <c r="H112" s="314">
        <f t="shared" si="4"/>
        <v>0</v>
      </c>
      <c r="I112" s="315" t="s">
        <v>76</v>
      </c>
      <c r="J112" s="309"/>
      <c r="K112" s="309"/>
      <c r="L112" s="315"/>
      <c r="M112" s="315"/>
      <c r="N112" s="315" t="s">
        <v>76</v>
      </c>
      <c r="O112" s="6"/>
    </row>
    <row r="113" spans="1:15" s="25" customFormat="1" ht="12.75">
      <c r="A113" s="438" t="s">
        <v>336</v>
      </c>
      <c r="B113" s="313"/>
      <c r="C113" s="313" t="s">
        <v>211</v>
      </c>
      <c r="D113" s="365" t="s">
        <v>333</v>
      </c>
      <c r="E113" s="313" t="s">
        <v>108</v>
      </c>
      <c r="F113" s="313" t="s">
        <v>116</v>
      </c>
      <c r="G113" s="313" t="s">
        <v>115</v>
      </c>
      <c r="H113" s="314">
        <f t="shared" si="4"/>
        <v>0</v>
      </c>
      <c r="I113" s="315" t="s">
        <v>76</v>
      </c>
      <c r="J113" s="309"/>
      <c r="K113" s="309"/>
      <c r="L113" s="315"/>
      <c r="M113" s="315"/>
      <c r="N113" s="315" t="s">
        <v>76</v>
      </c>
      <c r="O113" s="6"/>
    </row>
    <row r="114" spans="1:15" s="25" customFormat="1" ht="12.75">
      <c r="A114" s="438" t="s">
        <v>337</v>
      </c>
      <c r="B114" s="313"/>
      <c r="C114" s="313" t="s">
        <v>211</v>
      </c>
      <c r="D114" s="365" t="s">
        <v>216</v>
      </c>
      <c r="E114" s="313" t="s">
        <v>108</v>
      </c>
      <c r="F114" s="313" t="s">
        <v>116</v>
      </c>
      <c r="G114" s="313" t="s">
        <v>115</v>
      </c>
      <c r="H114" s="314">
        <f t="shared" si="4"/>
        <v>0</v>
      </c>
      <c r="I114" s="315" t="s">
        <v>76</v>
      </c>
      <c r="J114" s="309"/>
      <c r="K114" s="309"/>
      <c r="L114" s="315"/>
      <c r="M114" s="315"/>
      <c r="N114" s="315" t="s">
        <v>76</v>
      </c>
      <c r="O114" s="6"/>
    </row>
    <row r="115" spans="1:15" s="25" customFormat="1" ht="41.25" customHeight="1">
      <c r="A115" s="681" t="s">
        <v>360</v>
      </c>
      <c r="B115" s="683"/>
      <c r="C115" s="27" t="s">
        <v>51</v>
      </c>
      <c r="D115" s="43"/>
      <c r="E115" s="42"/>
      <c r="F115" s="42"/>
      <c r="G115" s="42"/>
      <c r="H115" s="124"/>
      <c r="I115" s="119"/>
      <c r="J115" s="97"/>
      <c r="K115" s="120">
        <f>SUM(K117:K125)</f>
        <v>359624.7</v>
      </c>
      <c r="L115" s="119"/>
      <c r="M115" s="119"/>
      <c r="N115" s="119"/>
      <c r="O115" s="6"/>
    </row>
    <row r="116" spans="1:15" s="25" customFormat="1" ht="12.75" hidden="1">
      <c r="A116" s="61" t="s">
        <v>11</v>
      </c>
      <c r="B116" s="59"/>
      <c r="C116" s="59" t="s">
        <v>51</v>
      </c>
      <c r="D116" s="59" t="s">
        <v>81</v>
      </c>
      <c r="E116" s="59" t="s">
        <v>218</v>
      </c>
      <c r="F116" s="59" t="s">
        <v>121</v>
      </c>
      <c r="G116" s="59" t="s">
        <v>115</v>
      </c>
      <c r="H116" s="127">
        <f aca="true" t="shared" si="5" ref="H116:H125">K116</f>
        <v>0</v>
      </c>
      <c r="I116" s="101" t="s">
        <v>76</v>
      </c>
      <c r="J116" s="102"/>
      <c r="K116" s="104"/>
      <c r="L116" s="102"/>
      <c r="M116" s="100"/>
      <c r="N116" s="101" t="s">
        <v>76</v>
      </c>
      <c r="O116" s="6"/>
    </row>
    <row r="117" spans="1:15" s="25" customFormat="1" ht="12.75">
      <c r="A117" s="684" t="s">
        <v>12</v>
      </c>
      <c r="B117" s="9"/>
      <c r="C117" s="678" t="s">
        <v>51</v>
      </c>
      <c r="D117" s="9" t="s">
        <v>81</v>
      </c>
      <c r="E117" s="678" t="s">
        <v>218</v>
      </c>
      <c r="F117" s="678" t="s">
        <v>116</v>
      </c>
      <c r="G117" s="678" t="s">
        <v>115</v>
      </c>
      <c r="H117" s="126">
        <f t="shared" si="5"/>
        <v>195152.7</v>
      </c>
      <c r="I117" s="107" t="s">
        <v>76</v>
      </c>
      <c r="J117" s="107"/>
      <c r="K117" s="116">
        <v>195152.7</v>
      </c>
      <c r="L117" s="107"/>
      <c r="M117" s="107"/>
      <c r="N117" s="107" t="s">
        <v>76</v>
      </c>
      <c r="O117" s="6"/>
    </row>
    <row r="118" spans="1:15" s="25" customFormat="1" ht="12.75">
      <c r="A118" s="685"/>
      <c r="B118" s="9"/>
      <c r="C118" s="679"/>
      <c r="D118" s="9" t="s">
        <v>219</v>
      </c>
      <c r="E118" s="679"/>
      <c r="F118" s="679"/>
      <c r="G118" s="679"/>
      <c r="H118" s="126">
        <f t="shared" si="5"/>
        <v>148024.8</v>
      </c>
      <c r="I118" s="107" t="s">
        <v>76</v>
      </c>
      <c r="J118" s="107"/>
      <c r="K118" s="116">
        <v>148024.8</v>
      </c>
      <c r="L118" s="107"/>
      <c r="M118" s="107"/>
      <c r="N118" s="107" t="s">
        <v>76</v>
      </c>
      <c r="O118" s="6"/>
    </row>
    <row r="119" spans="1:15" s="25" customFormat="1" ht="12.75">
      <c r="A119" s="686"/>
      <c r="B119" s="9"/>
      <c r="C119" s="680"/>
      <c r="D119" s="9" t="s">
        <v>196</v>
      </c>
      <c r="E119" s="680"/>
      <c r="F119" s="680"/>
      <c r="G119" s="680"/>
      <c r="H119" s="126">
        <f t="shared" si="5"/>
        <v>7593.6</v>
      </c>
      <c r="I119" s="107"/>
      <c r="J119" s="107"/>
      <c r="K119" s="116">
        <v>7593.6</v>
      </c>
      <c r="L119" s="107"/>
      <c r="M119" s="107"/>
      <c r="N119" s="107" t="s">
        <v>76</v>
      </c>
      <c r="O119" s="6"/>
    </row>
    <row r="120" spans="1:15" s="25" customFormat="1" ht="12.75">
      <c r="A120" s="431" t="s">
        <v>362</v>
      </c>
      <c r="B120" s="9"/>
      <c r="C120" s="9" t="s">
        <v>51</v>
      </c>
      <c r="D120" s="9" t="s">
        <v>196</v>
      </c>
      <c r="E120" s="9" t="s">
        <v>218</v>
      </c>
      <c r="F120" s="9" t="s">
        <v>361</v>
      </c>
      <c r="G120" s="9" t="s">
        <v>115</v>
      </c>
      <c r="H120" s="126">
        <f t="shared" si="5"/>
        <v>2272.2</v>
      </c>
      <c r="I120" s="107"/>
      <c r="J120" s="107"/>
      <c r="K120" s="116">
        <v>2272.2</v>
      </c>
      <c r="L120" s="107"/>
      <c r="M120" s="107"/>
      <c r="N120" s="107" t="s">
        <v>76</v>
      </c>
      <c r="O120" s="6"/>
    </row>
    <row r="121" spans="1:15" s="25" customFormat="1" ht="39.75" customHeight="1">
      <c r="A121" s="431" t="s">
        <v>363</v>
      </c>
      <c r="B121" s="9"/>
      <c r="C121" s="9" t="s">
        <v>51</v>
      </c>
      <c r="D121" s="9" t="s">
        <v>196</v>
      </c>
      <c r="E121" s="9" t="s">
        <v>218</v>
      </c>
      <c r="F121" s="9" t="s">
        <v>240</v>
      </c>
      <c r="G121" s="9" t="s">
        <v>115</v>
      </c>
      <c r="H121" s="126">
        <f t="shared" si="5"/>
        <v>2625</v>
      </c>
      <c r="I121" s="107"/>
      <c r="J121" s="107"/>
      <c r="K121" s="116">
        <v>2625</v>
      </c>
      <c r="L121" s="107"/>
      <c r="M121" s="107"/>
      <c r="N121" s="107" t="s">
        <v>76</v>
      </c>
      <c r="O121" s="6"/>
    </row>
    <row r="122" spans="1:15" s="25" customFormat="1" ht="28.5" customHeight="1">
      <c r="A122" s="431" t="s">
        <v>364</v>
      </c>
      <c r="B122" s="9"/>
      <c r="C122" s="9" t="s">
        <v>51</v>
      </c>
      <c r="D122" s="9" t="s">
        <v>196</v>
      </c>
      <c r="E122" s="9" t="s">
        <v>218</v>
      </c>
      <c r="F122" s="9" t="s">
        <v>242</v>
      </c>
      <c r="G122" s="9" t="s">
        <v>115</v>
      </c>
      <c r="H122" s="126">
        <f t="shared" si="5"/>
        <v>3956.4</v>
      </c>
      <c r="I122" s="107"/>
      <c r="J122" s="107"/>
      <c r="K122" s="116">
        <v>3956.4</v>
      </c>
      <c r="L122" s="107"/>
      <c r="M122" s="107"/>
      <c r="N122" s="107" t="s">
        <v>76</v>
      </c>
      <c r="O122" s="6"/>
    </row>
    <row r="123" spans="1:15" s="25" customFormat="1" ht="12.75" hidden="1">
      <c r="A123" s="22" t="s">
        <v>359</v>
      </c>
      <c r="B123" s="9"/>
      <c r="C123" s="9" t="s">
        <v>51</v>
      </c>
      <c r="D123" s="9" t="s">
        <v>81</v>
      </c>
      <c r="E123" s="9" t="s">
        <v>218</v>
      </c>
      <c r="F123" s="9" t="s">
        <v>118</v>
      </c>
      <c r="G123" s="9" t="s">
        <v>115</v>
      </c>
      <c r="H123" s="126">
        <f>K123</f>
        <v>0</v>
      </c>
      <c r="I123" s="107" t="s">
        <v>76</v>
      </c>
      <c r="J123" s="107"/>
      <c r="K123" s="116"/>
      <c r="L123" s="101"/>
      <c r="M123" s="101"/>
      <c r="N123" s="101" t="s">
        <v>76</v>
      </c>
      <c r="O123" s="6"/>
    </row>
    <row r="124" spans="1:15" s="25" customFormat="1" ht="12.75" hidden="1">
      <c r="A124" s="684" t="s">
        <v>221</v>
      </c>
      <c r="B124" s="9"/>
      <c r="C124" s="678" t="s">
        <v>51</v>
      </c>
      <c r="D124" s="9" t="s">
        <v>81</v>
      </c>
      <c r="E124" s="678" t="s">
        <v>218</v>
      </c>
      <c r="F124" s="678" t="s">
        <v>119</v>
      </c>
      <c r="G124" s="678" t="s">
        <v>115</v>
      </c>
      <c r="H124" s="126">
        <f t="shared" si="5"/>
        <v>0</v>
      </c>
      <c r="I124" s="107" t="s">
        <v>76</v>
      </c>
      <c r="J124" s="107"/>
      <c r="K124" s="116"/>
      <c r="L124" s="101"/>
      <c r="M124" s="101"/>
      <c r="N124" s="101" t="s">
        <v>76</v>
      </c>
      <c r="O124" s="6"/>
    </row>
    <row r="125" spans="1:15" s="25" customFormat="1" ht="12.75" hidden="1">
      <c r="A125" s="686"/>
      <c r="B125" s="9"/>
      <c r="C125" s="680"/>
      <c r="D125" s="9" t="s">
        <v>196</v>
      </c>
      <c r="E125" s="680"/>
      <c r="F125" s="680"/>
      <c r="G125" s="680"/>
      <c r="H125" s="126">
        <f t="shared" si="5"/>
        <v>0</v>
      </c>
      <c r="I125" s="107" t="s">
        <v>76</v>
      </c>
      <c r="J125" s="107"/>
      <c r="K125" s="116"/>
      <c r="L125" s="101"/>
      <c r="M125" s="101"/>
      <c r="N125" s="101" t="s">
        <v>76</v>
      </c>
      <c r="O125" s="6"/>
    </row>
    <row r="126" spans="1:15" s="25" customFormat="1" ht="15" customHeight="1">
      <c r="A126" s="681" t="s">
        <v>210</v>
      </c>
      <c r="B126" s="683"/>
      <c r="C126" s="27" t="s">
        <v>163</v>
      </c>
      <c r="D126" s="44"/>
      <c r="E126" s="3"/>
      <c r="F126" s="3"/>
      <c r="G126" s="3"/>
      <c r="H126" s="131"/>
      <c r="I126" s="117"/>
      <c r="J126" s="110"/>
      <c r="K126" s="120">
        <f>K127+K128</f>
        <v>950000</v>
      </c>
      <c r="L126" s="117"/>
      <c r="M126" s="117"/>
      <c r="N126" s="117"/>
      <c r="O126" s="6"/>
    </row>
    <row r="127" spans="1:15" s="25" customFormat="1" ht="15.75" customHeight="1">
      <c r="A127" s="22" t="s">
        <v>11</v>
      </c>
      <c r="B127" s="40"/>
      <c r="C127" s="41" t="s">
        <v>163</v>
      </c>
      <c r="D127" s="6" t="s">
        <v>162</v>
      </c>
      <c r="E127" s="9" t="s">
        <v>157</v>
      </c>
      <c r="F127" s="46">
        <v>225</v>
      </c>
      <c r="G127" s="9" t="s">
        <v>115</v>
      </c>
      <c r="H127" s="129" t="s">
        <v>76</v>
      </c>
      <c r="I127" s="107" t="s">
        <v>76</v>
      </c>
      <c r="J127" s="78"/>
      <c r="K127" s="116">
        <v>950000</v>
      </c>
      <c r="L127" s="107"/>
      <c r="M127" s="107"/>
      <c r="N127" s="107" t="s">
        <v>76</v>
      </c>
      <c r="O127" s="6"/>
    </row>
    <row r="128" spans="1:15" s="25" customFormat="1" ht="13.5" hidden="1">
      <c r="A128" s="47" t="s">
        <v>14</v>
      </c>
      <c r="B128" s="40"/>
      <c r="C128" s="41" t="s">
        <v>163</v>
      </c>
      <c r="D128" s="6" t="s">
        <v>162</v>
      </c>
      <c r="E128" s="9" t="s">
        <v>157</v>
      </c>
      <c r="F128" s="9" t="s">
        <v>118</v>
      </c>
      <c r="G128" s="9" t="s">
        <v>115</v>
      </c>
      <c r="H128" s="126"/>
      <c r="I128" s="107"/>
      <c r="J128" s="78"/>
      <c r="K128" s="116"/>
      <c r="L128" s="107"/>
      <c r="M128" s="107"/>
      <c r="N128" s="107"/>
      <c r="O128" s="6"/>
    </row>
    <row r="129" spans="1:15" s="25" customFormat="1" ht="15" customHeight="1" hidden="1">
      <c r="A129" s="681" t="s">
        <v>177</v>
      </c>
      <c r="B129" s="683"/>
      <c r="C129" s="27" t="s">
        <v>23</v>
      </c>
      <c r="D129" s="44"/>
      <c r="E129" s="3"/>
      <c r="F129" s="3"/>
      <c r="G129" s="3"/>
      <c r="H129" s="131"/>
      <c r="I129" s="117"/>
      <c r="J129" s="110"/>
      <c r="K129" s="118">
        <f>K130</f>
        <v>0</v>
      </c>
      <c r="L129" s="117"/>
      <c r="M129" s="117"/>
      <c r="N129" s="117"/>
      <c r="O129" s="6"/>
    </row>
    <row r="130" spans="1:15" s="25" customFormat="1" ht="15" customHeight="1" hidden="1">
      <c r="A130" s="22" t="s">
        <v>178</v>
      </c>
      <c r="B130" s="9"/>
      <c r="C130" s="9" t="s">
        <v>23</v>
      </c>
      <c r="D130" s="9" t="s">
        <v>81</v>
      </c>
      <c r="E130" s="9" t="s">
        <v>108</v>
      </c>
      <c r="F130" s="9" t="s">
        <v>116</v>
      </c>
      <c r="G130" s="9" t="s">
        <v>115</v>
      </c>
      <c r="H130" s="126"/>
      <c r="I130" s="107"/>
      <c r="J130" s="78"/>
      <c r="K130" s="116"/>
      <c r="L130" s="107"/>
      <c r="M130" s="107"/>
      <c r="N130" s="107"/>
      <c r="O130" s="6"/>
    </row>
    <row r="131" spans="1:15" s="25" customFormat="1" ht="29.25" customHeight="1" hidden="1">
      <c r="A131" s="681" t="s">
        <v>191</v>
      </c>
      <c r="B131" s="683"/>
      <c r="C131" s="27" t="s">
        <v>192</v>
      </c>
      <c r="D131" s="3"/>
      <c r="E131" s="3"/>
      <c r="F131" s="3"/>
      <c r="G131" s="3"/>
      <c r="H131" s="124">
        <f aca="true" t="shared" si="6" ref="H131:H137">K131</f>
        <v>0</v>
      </c>
      <c r="I131" s="119"/>
      <c r="J131" s="97"/>
      <c r="K131" s="97">
        <f>K132+K133</f>
        <v>0</v>
      </c>
      <c r="L131" s="117"/>
      <c r="M131" s="117"/>
      <c r="N131" s="117"/>
      <c r="O131" s="6"/>
    </row>
    <row r="132" spans="1:15" s="25" customFormat="1" ht="16.5" customHeight="1" hidden="1">
      <c r="A132" s="61" t="s">
        <v>195</v>
      </c>
      <c r="B132" s="67"/>
      <c r="C132" s="59" t="s">
        <v>192</v>
      </c>
      <c r="D132" s="59" t="s">
        <v>193</v>
      </c>
      <c r="E132" s="59" t="s">
        <v>108</v>
      </c>
      <c r="F132" s="59" t="s">
        <v>121</v>
      </c>
      <c r="G132" s="59" t="s">
        <v>194</v>
      </c>
      <c r="H132" s="127">
        <f t="shared" si="6"/>
        <v>0</v>
      </c>
      <c r="I132" s="101" t="s">
        <v>76</v>
      </c>
      <c r="J132" s="100"/>
      <c r="K132" s="104"/>
      <c r="L132" s="101"/>
      <c r="M132" s="101"/>
      <c r="N132" s="101" t="s">
        <v>76</v>
      </c>
      <c r="O132" s="6"/>
    </row>
    <row r="133" spans="1:15" s="25" customFormat="1" ht="16.5" customHeight="1" hidden="1">
      <c r="A133" s="61" t="s">
        <v>195</v>
      </c>
      <c r="B133" s="68"/>
      <c r="C133" s="59" t="s">
        <v>192</v>
      </c>
      <c r="D133" s="59" t="s">
        <v>196</v>
      </c>
      <c r="E133" s="59" t="s">
        <v>108</v>
      </c>
      <c r="F133" s="59" t="s">
        <v>121</v>
      </c>
      <c r="G133" s="59" t="s">
        <v>194</v>
      </c>
      <c r="H133" s="127">
        <f t="shared" si="6"/>
        <v>0</v>
      </c>
      <c r="I133" s="101" t="s">
        <v>76</v>
      </c>
      <c r="J133" s="100"/>
      <c r="K133" s="104"/>
      <c r="L133" s="101"/>
      <c r="M133" s="101"/>
      <c r="N133" s="101" t="s">
        <v>76</v>
      </c>
      <c r="O133" s="6"/>
    </row>
    <row r="134" spans="1:15" s="25" customFormat="1" ht="16.5" customHeight="1">
      <c r="A134" s="39" t="s">
        <v>222</v>
      </c>
      <c r="B134" s="38"/>
      <c r="C134" s="27" t="s">
        <v>203</v>
      </c>
      <c r="D134" s="3"/>
      <c r="E134" s="3"/>
      <c r="F134" s="3"/>
      <c r="G134" s="3"/>
      <c r="H134" s="124">
        <f t="shared" si="6"/>
        <v>10000</v>
      </c>
      <c r="I134" s="117" t="s">
        <v>76</v>
      </c>
      <c r="J134" s="110"/>
      <c r="K134" s="120">
        <f>K135</f>
        <v>10000</v>
      </c>
      <c r="L134" s="117"/>
      <c r="M134" s="117"/>
      <c r="N134" s="117" t="s">
        <v>76</v>
      </c>
      <c r="O134" s="6"/>
    </row>
    <row r="135" spans="1:15" s="25" customFormat="1" ht="24" customHeight="1">
      <c r="A135" s="22" t="s">
        <v>236</v>
      </c>
      <c r="B135" s="40"/>
      <c r="C135" s="9" t="s">
        <v>203</v>
      </c>
      <c r="D135" s="9" t="s">
        <v>81</v>
      </c>
      <c r="E135" s="9" t="s">
        <v>108</v>
      </c>
      <c r="F135" s="9" t="s">
        <v>205</v>
      </c>
      <c r="G135" s="9" t="s">
        <v>123</v>
      </c>
      <c r="H135" s="126">
        <f t="shared" si="6"/>
        <v>10000</v>
      </c>
      <c r="I135" s="107" t="s">
        <v>76</v>
      </c>
      <c r="J135" s="78"/>
      <c r="K135" s="121">
        <v>10000</v>
      </c>
      <c r="L135" s="107"/>
      <c r="M135" s="107"/>
      <c r="N135" s="107" t="s">
        <v>76</v>
      </c>
      <c r="O135" s="6"/>
    </row>
    <row r="136" spans="1:15" s="25" customFormat="1" ht="12.75" hidden="1">
      <c r="A136" s="75" t="s">
        <v>226</v>
      </c>
      <c r="B136" s="58"/>
      <c r="C136" s="42" t="s">
        <v>23</v>
      </c>
      <c r="D136" s="42"/>
      <c r="E136" s="42"/>
      <c r="F136" s="42"/>
      <c r="G136" s="42"/>
      <c r="H136" s="125">
        <f t="shared" si="6"/>
        <v>0</v>
      </c>
      <c r="I136" s="119"/>
      <c r="J136" s="98"/>
      <c r="K136" s="97">
        <f>K137</f>
        <v>0</v>
      </c>
      <c r="L136" s="119"/>
      <c r="M136" s="119"/>
      <c r="N136" s="119"/>
      <c r="O136" s="6"/>
    </row>
    <row r="137" spans="1:15" s="25" customFormat="1" ht="12.75" hidden="1">
      <c r="A137" s="76" t="s">
        <v>227</v>
      </c>
      <c r="B137" s="57"/>
      <c r="C137" s="9" t="s">
        <v>23</v>
      </c>
      <c r="D137" s="9" t="s">
        <v>228</v>
      </c>
      <c r="E137" s="9" t="s">
        <v>157</v>
      </c>
      <c r="F137" s="9" t="s">
        <v>116</v>
      </c>
      <c r="G137" s="9" t="s">
        <v>115</v>
      </c>
      <c r="H137" s="129">
        <f t="shared" si="6"/>
        <v>0</v>
      </c>
      <c r="I137" s="107"/>
      <c r="J137" s="26"/>
      <c r="K137" s="78"/>
      <c r="L137" s="107"/>
      <c r="M137" s="107"/>
      <c r="N137" s="107"/>
      <c r="O137" s="6"/>
    </row>
    <row r="138" spans="1:15" s="25" customFormat="1" ht="12.75" hidden="1">
      <c r="A138" s="77" t="s">
        <v>231</v>
      </c>
      <c r="B138" s="58"/>
      <c r="C138" s="87" t="s">
        <v>230</v>
      </c>
      <c r="D138" s="53"/>
      <c r="E138" s="53"/>
      <c r="F138" s="53"/>
      <c r="G138" s="53"/>
      <c r="H138" s="124">
        <f>K138</f>
        <v>0</v>
      </c>
      <c r="I138" s="119"/>
      <c r="J138" s="97"/>
      <c r="K138" s="98">
        <f>K139</f>
        <v>0</v>
      </c>
      <c r="L138" s="119"/>
      <c r="M138" s="119"/>
      <c r="N138" s="119"/>
      <c r="O138" s="6"/>
    </row>
    <row r="139" spans="1:15" s="25" customFormat="1" ht="12.75" hidden="1">
      <c r="A139" s="22" t="s">
        <v>227</v>
      </c>
      <c r="B139" s="57"/>
      <c r="C139" s="9" t="s">
        <v>230</v>
      </c>
      <c r="D139" s="9" t="s">
        <v>81</v>
      </c>
      <c r="E139" s="9" t="s">
        <v>232</v>
      </c>
      <c r="F139" s="9" t="s">
        <v>116</v>
      </c>
      <c r="G139" s="9" t="s">
        <v>115</v>
      </c>
      <c r="H139" s="126">
        <f>K139</f>
        <v>0</v>
      </c>
      <c r="I139" s="107"/>
      <c r="J139" s="78"/>
      <c r="K139" s="26"/>
      <c r="L139" s="107"/>
      <c r="M139" s="107"/>
      <c r="N139" s="107"/>
      <c r="O139" s="6"/>
    </row>
    <row r="140" spans="1:15" s="25" customFormat="1" ht="29.25" customHeight="1">
      <c r="A140" s="681" t="s">
        <v>224</v>
      </c>
      <c r="B140" s="682"/>
      <c r="C140" s="27" t="s">
        <v>80</v>
      </c>
      <c r="D140" s="3"/>
      <c r="E140" s="3"/>
      <c r="F140" s="3"/>
      <c r="G140" s="3"/>
      <c r="H140" s="124">
        <f>N140</f>
        <v>99500.00000000001</v>
      </c>
      <c r="I140" s="119"/>
      <c r="J140" s="119"/>
      <c r="K140" s="119"/>
      <c r="L140" s="119"/>
      <c r="M140" s="119"/>
      <c r="N140" s="97">
        <f>SUM(N141:N150)</f>
        <v>99500.00000000001</v>
      </c>
      <c r="O140" s="6"/>
    </row>
    <row r="141" spans="1:15" s="25" customFormat="1" ht="13.5" customHeight="1" hidden="1">
      <c r="A141" s="45" t="s">
        <v>8</v>
      </c>
      <c r="B141" s="8"/>
      <c r="C141" s="9" t="s">
        <v>80</v>
      </c>
      <c r="D141" s="9" t="s">
        <v>81</v>
      </c>
      <c r="E141" s="9" t="s">
        <v>108</v>
      </c>
      <c r="F141" s="9" t="s">
        <v>128</v>
      </c>
      <c r="G141" s="9" t="s">
        <v>115</v>
      </c>
      <c r="H141" s="126">
        <f aca="true" t="shared" si="7" ref="H141:H148">N141</f>
        <v>0</v>
      </c>
      <c r="I141" s="107" t="s">
        <v>76</v>
      </c>
      <c r="J141" s="107" t="s">
        <v>76</v>
      </c>
      <c r="K141" s="107" t="s">
        <v>76</v>
      </c>
      <c r="L141" s="107" t="s">
        <v>76</v>
      </c>
      <c r="M141" s="107"/>
      <c r="N141" s="122"/>
      <c r="O141" s="6"/>
    </row>
    <row r="142" spans="1:15" s="25" customFormat="1" ht="13.5" customHeight="1" hidden="1">
      <c r="A142" s="22" t="s">
        <v>11</v>
      </c>
      <c r="B142" s="9"/>
      <c r="C142" s="9" t="s">
        <v>80</v>
      </c>
      <c r="D142" s="9" t="s">
        <v>81</v>
      </c>
      <c r="E142" s="9" t="s">
        <v>108</v>
      </c>
      <c r="F142" s="9" t="s">
        <v>121</v>
      </c>
      <c r="G142" s="9" t="s">
        <v>115</v>
      </c>
      <c r="H142" s="126">
        <f t="shared" si="7"/>
        <v>0</v>
      </c>
      <c r="I142" s="107" t="s">
        <v>76</v>
      </c>
      <c r="J142" s="107" t="s">
        <v>76</v>
      </c>
      <c r="K142" s="107" t="s">
        <v>76</v>
      </c>
      <c r="L142" s="107" t="s">
        <v>76</v>
      </c>
      <c r="M142" s="107"/>
      <c r="N142" s="122"/>
      <c r="O142" s="6"/>
    </row>
    <row r="143" spans="1:15" s="25" customFormat="1" ht="13.5" customHeight="1">
      <c r="A143" s="22" t="s">
        <v>11</v>
      </c>
      <c r="B143" s="9"/>
      <c r="C143" s="9" t="s">
        <v>80</v>
      </c>
      <c r="D143" s="9" t="s">
        <v>81</v>
      </c>
      <c r="E143" s="9" t="s">
        <v>218</v>
      </c>
      <c r="F143" s="9" t="s">
        <v>121</v>
      </c>
      <c r="G143" s="9" t="s">
        <v>115</v>
      </c>
      <c r="H143" s="126">
        <f>N143</f>
        <v>2815.2</v>
      </c>
      <c r="I143" s="107" t="s">
        <v>76</v>
      </c>
      <c r="J143" s="107" t="s">
        <v>76</v>
      </c>
      <c r="K143" s="107" t="s">
        <v>76</v>
      </c>
      <c r="L143" s="107" t="s">
        <v>76</v>
      </c>
      <c r="M143" s="107" t="s">
        <v>76</v>
      </c>
      <c r="N143" s="78">
        <v>2815.2</v>
      </c>
      <c r="O143" s="6"/>
    </row>
    <row r="144" spans="1:15" s="25" customFormat="1" ht="13.5" customHeight="1">
      <c r="A144" s="22" t="s">
        <v>12</v>
      </c>
      <c r="B144" s="9"/>
      <c r="C144" s="9" t="s">
        <v>80</v>
      </c>
      <c r="D144" s="9" t="s">
        <v>81</v>
      </c>
      <c r="E144" s="9" t="s">
        <v>218</v>
      </c>
      <c r="F144" s="9" t="s">
        <v>116</v>
      </c>
      <c r="G144" s="9" t="s">
        <v>115</v>
      </c>
      <c r="H144" s="126">
        <f t="shared" si="7"/>
        <v>13427.57</v>
      </c>
      <c r="I144" s="107" t="s">
        <v>76</v>
      </c>
      <c r="J144" s="107"/>
      <c r="K144" s="107" t="s">
        <v>76</v>
      </c>
      <c r="L144" s="107" t="s">
        <v>76</v>
      </c>
      <c r="M144" s="107"/>
      <c r="N144" s="433">
        <v>13427.57</v>
      </c>
      <c r="O144" s="6"/>
    </row>
    <row r="145" spans="1:15" s="25" customFormat="1" ht="13.5" customHeight="1">
      <c r="A145" s="22" t="s">
        <v>362</v>
      </c>
      <c r="B145" s="9"/>
      <c r="C145" s="9" t="s">
        <v>80</v>
      </c>
      <c r="D145" s="9" t="s">
        <v>81</v>
      </c>
      <c r="E145" s="9" t="s">
        <v>218</v>
      </c>
      <c r="F145" s="9" t="s">
        <v>361</v>
      </c>
      <c r="G145" s="9" t="s">
        <v>115</v>
      </c>
      <c r="H145" s="126">
        <f t="shared" si="7"/>
        <v>3408.3</v>
      </c>
      <c r="I145" s="107"/>
      <c r="J145" s="107"/>
      <c r="K145" s="107"/>
      <c r="L145" s="107"/>
      <c r="M145" s="107"/>
      <c r="N145" s="433">
        <v>3408.3</v>
      </c>
      <c r="O145" s="6"/>
    </row>
    <row r="146" spans="1:15" s="25" customFormat="1" ht="13.5" customHeight="1">
      <c r="A146" s="22" t="s">
        <v>12</v>
      </c>
      <c r="B146" s="9"/>
      <c r="C146" s="9" t="s">
        <v>80</v>
      </c>
      <c r="D146" s="9" t="s">
        <v>81</v>
      </c>
      <c r="E146" s="9" t="s">
        <v>108</v>
      </c>
      <c r="F146" s="9" t="s">
        <v>116</v>
      </c>
      <c r="G146" s="9" t="s">
        <v>115</v>
      </c>
      <c r="H146" s="126">
        <f>N146</f>
        <v>30000</v>
      </c>
      <c r="I146" s="107" t="s">
        <v>76</v>
      </c>
      <c r="J146" s="107" t="s">
        <v>76</v>
      </c>
      <c r="K146" s="107" t="s">
        <v>76</v>
      </c>
      <c r="L146" s="107" t="s">
        <v>76</v>
      </c>
      <c r="M146" s="107" t="s">
        <v>76</v>
      </c>
      <c r="N146" s="78">
        <v>30000</v>
      </c>
      <c r="O146" s="6"/>
    </row>
    <row r="147" spans="1:15" s="25" customFormat="1" ht="13.5" customHeight="1">
      <c r="A147" s="22" t="s">
        <v>14</v>
      </c>
      <c r="B147" s="9"/>
      <c r="C147" s="9" t="s">
        <v>80</v>
      </c>
      <c r="D147" s="9" t="s">
        <v>81</v>
      </c>
      <c r="E147" s="9" t="s">
        <v>108</v>
      </c>
      <c r="F147" s="9" t="s">
        <v>118</v>
      </c>
      <c r="G147" s="9" t="s">
        <v>115</v>
      </c>
      <c r="H147" s="126">
        <f t="shared" si="7"/>
        <v>35000</v>
      </c>
      <c r="I147" s="107" t="s">
        <v>76</v>
      </c>
      <c r="J147" s="107" t="s">
        <v>76</v>
      </c>
      <c r="K147" s="107" t="s">
        <v>76</v>
      </c>
      <c r="L147" s="107" t="s">
        <v>76</v>
      </c>
      <c r="M147" s="107"/>
      <c r="N147" s="122">
        <v>35000</v>
      </c>
      <c r="O147" s="6"/>
    </row>
    <row r="148" spans="1:15" s="25" customFormat="1" ht="39" customHeight="1">
      <c r="A148" s="22" t="s">
        <v>363</v>
      </c>
      <c r="B148" s="9"/>
      <c r="C148" s="9" t="s">
        <v>80</v>
      </c>
      <c r="D148" s="9" t="s">
        <v>81</v>
      </c>
      <c r="E148" s="9" t="s">
        <v>218</v>
      </c>
      <c r="F148" s="9" t="s">
        <v>240</v>
      </c>
      <c r="G148" s="9" t="s">
        <v>115</v>
      </c>
      <c r="H148" s="126">
        <f t="shared" si="7"/>
        <v>3937.5</v>
      </c>
      <c r="I148" s="107" t="s">
        <v>76</v>
      </c>
      <c r="J148" s="107"/>
      <c r="K148" s="107" t="s">
        <v>76</v>
      </c>
      <c r="L148" s="107" t="s">
        <v>76</v>
      </c>
      <c r="M148" s="107"/>
      <c r="N148" s="99">
        <v>3937.5</v>
      </c>
      <c r="O148" s="6"/>
    </row>
    <row r="149" spans="1:15" s="25" customFormat="1" ht="30.75" customHeight="1">
      <c r="A149" s="431" t="s">
        <v>364</v>
      </c>
      <c r="B149" s="20"/>
      <c r="C149" s="9" t="s">
        <v>80</v>
      </c>
      <c r="D149" s="9" t="s">
        <v>81</v>
      </c>
      <c r="E149" s="9" t="s">
        <v>218</v>
      </c>
      <c r="F149" s="9" t="s">
        <v>242</v>
      </c>
      <c r="G149" s="9" t="s">
        <v>115</v>
      </c>
      <c r="H149" s="126">
        <f>N149</f>
        <v>7087.63</v>
      </c>
      <c r="I149" s="107" t="s">
        <v>76</v>
      </c>
      <c r="J149" s="108"/>
      <c r="K149" s="107" t="s">
        <v>76</v>
      </c>
      <c r="L149" s="108"/>
      <c r="M149" s="108"/>
      <c r="N149" s="78">
        <v>7087.63</v>
      </c>
      <c r="O149" s="6"/>
    </row>
    <row r="150" spans="1:15" s="25" customFormat="1" ht="30.75" customHeight="1">
      <c r="A150" s="431" t="s">
        <v>243</v>
      </c>
      <c r="B150" s="20"/>
      <c r="C150" s="9" t="s">
        <v>80</v>
      </c>
      <c r="D150" s="9" t="s">
        <v>81</v>
      </c>
      <c r="E150" s="9" t="s">
        <v>218</v>
      </c>
      <c r="F150" s="9" t="s">
        <v>244</v>
      </c>
      <c r="G150" s="9" t="s">
        <v>115</v>
      </c>
      <c r="H150" s="126">
        <f>N150</f>
        <v>3823.8</v>
      </c>
      <c r="I150" s="107"/>
      <c r="J150" s="108"/>
      <c r="K150" s="107"/>
      <c r="L150" s="108"/>
      <c r="M150" s="108"/>
      <c r="N150" s="78">
        <v>3823.8</v>
      </c>
      <c r="O150" s="6"/>
    </row>
    <row r="151" spans="1:15" s="25" customFormat="1" ht="27">
      <c r="A151" s="96" t="s">
        <v>129</v>
      </c>
      <c r="B151" s="32" t="s">
        <v>130</v>
      </c>
      <c r="C151" s="33" t="s">
        <v>76</v>
      </c>
      <c r="D151" s="33" t="s">
        <v>76</v>
      </c>
      <c r="E151" s="33" t="s">
        <v>76</v>
      </c>
      <c r="F151" s="33" t="s">
        <v>76</v>
      </c>
      <c r="G151" s="33" t="s">
        <v>76</v>
      </c>
      <c r="H151" s="130">
        <f>I151+N151+K151</f>
        <v>16689700</v>
      </c>
      <c r="I151" s="130">
        <f>I55+I58+I85+I86+I56+I70</f>
        <v>16679700</v>
      </c>
      <c r="J151" s="130"/>
      <c r="K151" s="130">
        <f>K135</f>
        <v>10000</v>
      </c>
      <c r="L151" s="134" t="s">
        <v>76</v>
      </c>
      <c r="M151" s="134" t="s">
        <v>76</v>
      </c>
      <c r="N151" s="130"/>
      <c r="O151" s="6" t="s">
        <v>76</v>
      </c>
    </row>
    <row r="152" spans="1:15" s="25" customFormat="1" ht="27">
      <c r="A152" s="96" t="s">
        <v>131</v>
      </c>
      <c r="B152" s="32" t="s">
        <v>132</v>
      </c>
      <c r="C152" s="33" t="s">
        <v>76</v>
      </c>
      <c r="D152" s="33" t="s">
        <v>76</v>
      </c>
      <c r="E152" s="33" t="s">
        <v>76</v>
      </c>
      <c r="F152" s="33" t="s">
        <v>76</v>
      </c>
      <c r="G152" s="33" t="s">
        <v>76</v>
      </c>
      <c r="H152" s="130">
        <f>H154+H153</f>
        <v>6593603.7</v>
      </c>
      <c r="I152" s="130">
        <f>I154+I153</f>
        <v>4367139</v>
      </c>
      <c r="J152" s="130">
        <f>J154+J153</f>
        <v>0</v>
      </c>
      <c r="K152" s="130">
        <f>K154+K153</f>
        <v>2126964.7</v>
      </c>
      <c r="L152" s="134"/>
      <c r="M152" s="134"/>
      <c r="N152" s="130">
        <f>N154+N153</f>
        <v>99500</v>
      </c>
      <c r="O152" s="6"/>
    </row>
    <row r="153" spans="1:15" s="25" customFormat="1" ht="24" customHeight="1">
      <c r="A153" s="96" t="s">
        <v>133</v>
      </c>
      <c r="B153" s="32" t="s">
        <v>134</v>
      </c>
      <c r="C153" s="33" t="s">
        <v>76</v>
      </c>
      <c r="D153" s="33" t="s">
        <v>76</v>
      </c>
      <c r="E153" s="33" t="s">
        <v>76</v>
      </c>
      <c r="F153" s="33" t="s">
        <v>76</v>
      </c>
      <c r="G153" s="33" t="s">
        <v>76</v>
      </c>
      <c r="H153" s="130">
        <f>I153+N153+K153</f>
        <v>0</v>
      </c>
      <c r="I153" s="130"/>
      <c r="J153" s="130"/>
      <c r="K153" s="130">
        <v>0</v>
      </c>
      <c r="L153" s="134"/>
      <c r="M153" s="134"/>
      <c r="N153" s="130">
        <v>0</v>
      </c>
      <c r="O153" s="6"/>
    </row>
    <row r="154" spans="1:15" s="25" customFormat="1" ht="12.75" customHeight="1">
      <c r="A154" s="96" t="s">
        <v>135</v>
      </c>
      <c r="B154" s="32" t="s">
        <v>136</v>
      </c>
      <c r="C154" s="33" t="s">
        <v>76</v>
      </c>
      <c r="D154" s="33" t="s">
        <v>76</v>
      </c>
      <c r="E154" s="33" t="s">
        <v>76</v>
      </c>
      <c r="F154" s="33" t="s">
        <v>76</v>
      </c>
      <c r="G154" s="33" t="s">
        <v>76</v>
      </c>
      <c r="H154" s="130">
        <f>I154+N154+K154</f>
        <v>6593603.7</v>
      </c>
      <c r="I154" s="130">
        <f>I60+I65+I66+I67+I68+I71+I76+I77+I79+I81+I82+I83+I84+I95+I90+I91+I72+I73+I74+I75+I92+I80</f>
        <v>4367139</v>
      </c>
      <c r="J154" s="130"/>
      <c r="K154" s="130">
        <f>K99+K103+K132+K133+K117+K118+K119+K125+K127+K111+K112+K113+K114+K110+K137+K139+K124+K120+K121+K122+K105+K106++K107+K108</f>
        <v>2126964.7</v>
      </c>
      <c r="L154" s="134" t="s">
        <v>76</v>
      </c>
      <c r="M154" s="134" t="s">
        <v>76</v>
      </c>
      <c r="N154" s="130">
        <f>N141+N142+N144+N147+N148+N143+N146+N149+N145+N150</f>
        <v>99500</v>
      </c>
      <c r="O154" s="6" t="s">
        <v>76</v>
      </c>
    </row>
    <row r="155" spans="1:15" s="25" customFormat="1" ht="13.5" hidden="1">
      <c r="A155" s="8" t="s">
        <v>137</v>
      </c>
      <c r="B155" s="9" t="s">
        <v>138</v>
      </c>
      <c r="C155" s="34" t="s">
        <v>76</v>
      </c>
      <c r="D155" s="34" t="s">
        <v>76</v>
      </c>
      <c r="E155" s="34" t="s">
        <v>76</v>
      </c>
      <c r="F155" s="34" t="s">
        <v>76</v>
      </c>
      <c r="G155" s="34" t="s">
        <v>76</v>
      </c>
      <c r="H155" s="126">
        <f>I155+N155</f>
        <v>0</v>
      </c>
      <c r="I155" s="126">
        <v>0</v>
      </c>
      <c r="J155" s="126"/>
      <c r="K155" s="126"/>
      <c r="L155" s="135" t="s">
        <v>76</v>
      </c>
      <c r="M155" s="135" t="s">
        <v>76</v>
      </c>
      <c r="N155" s="126">
        <v>0</v>
      </c>
      <c r="O155" s="6" t="s">
        <v>76</v>
      </c>
    </row>
    <row r="156" spans="1:15" s="25" customFormat="1" ht="13.5" hidden="1">
      <c r="A156" s="20" t="s">
        <v>139</v>
      </c>
      <c r="B156" s="9" t="s">
        <v>118</v>
      </c>
      <c r="C156" s="34" t="s">
        <v>76</v>
      </c>
      <c r="D156" s="34" t="s">
        <v>76</v>
      </c>
      <c r="E156" s="34" t="s">
        <v>76</v>
      </c>
      <c r="F156" s="34" t="s">
        <v>76</v>
      </c>
      <c r="G156" s="34" t="s">
        <v>76</v>
      </c>
      <c r="H156" s="126">
        <v>0</v>
      </c>
      <c r="I156" s="126">
        <v>0</v>
      </c>
      <c r="J156" s="126"/>
      <c r="K156" s="126"/>
      <c r="L156" s="135" t="s">
        <v>76</v>
      </c>
      <c r="M156" s="135" t="s">
        <v>76</v>
      </c>
      <c r="N156" s="126">
        <v>0</v>
      </c>
      <c r="O156" s="6" t="s">
        <v>76</v>
      </c>
    </row>
    <row r="157" spans="1:15" s="25" customFormat="1" ht="13.5" hidden="1">
      <c r="A157" s="20" t="s">
        <v>140</v>
      </c>
      <c r="B157" s="9" t="s">
        <v>141</v>
      </c>
      <c r="C157" s="34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126">
        <v>0</v>
      </c>
      <c r="I157" s="126">
        <v>0</v>
      </c>
      <c r="J157" s="126"/>
      <c r="K157" s="126"/>
      <c r="L157" s="135" t="s">
        <v>76</v>
      </c>
      <c r="M157" s="135" t="s">
        <v>76</v>
      </c>
      <c r="N157" s="126">
        <v>0</v>
      </c>
      <c r="O157" s="6" t="s">
        <v>76</v>
      </c>
    </row>
    <row r="158" spans="1:15" s="25" customFormat="1" ht="13.5" hidden="1">
      <c r="A158" s="20" t="s">
        <v>142</v>
      </c>
      <c r="B158" s="9" t="s">
        <v>143</v>
      </c>
      <c r="C158" s="34" t="s">
        <v>76</v>
      </c>
      <c r="D158" s="34" t="s">
        <v>76</v>
      </c>
      <c r="E158" s="34" t="s">
        <v>76</v>
      </c>
      <c r="F158" s="34" t="s">
        <v>76</v>
      </c>
      <c r="G158" s="34" t="s">
        <v>76</v>
      </c>
      <c r="H158" s="126">
        <v>0</v>
      </c>
      <c r="I158" s="126">
        <v>0</v>
      </c>
      <c r="J158" s="126"/>
      <c r="K158" s="126"/>
      <c r="L158" s="135" t="s">
        <v>76</v>
      </c>
      <c r="M158" s="135" t="s">
        <v>76</v>
      </c>
      <c r="N158" s="126">
        <v>0</v>
      </c>
      <c r="O158" s="6" t="s">
        <v>76</v>
      </c>
    </row>
    <row r="159" spans="1:15" s="25" customFormat="1" ht="13.5" hidden="1">
      <c r="A159" s="20" t="s">
        <v>144</v>
      </c>
      <c r="B159" s="9" t="s">
        <v>145</v>
      </c>
      <c r="C159" s="34" t="s">
        <v>76</v>
      </c>
      <c r="D159" s="34" t="s">
        <v>76</v>
      </c>
      <c r="E159" s="34" t="s">
        <v>76</v>
      </c>
      <c r="F159" s="34" t="s">
        <v>76</v>
      </c>
      <c r="G159" s="34" t="s">
        <v>76</v>
      </c>
      <c r="H159" s="126">
        <v>0</v>
      </c>
      <c r="I159" s="126">
        <v>0</v>
      </c>
      <c r="J159" s="126"/>
      <c r="K159" s="126"/>
      <c r="L159" s="135" t="s">
        <v>76</v>
      </c>
      <c r="M159" s="135" t="s">
        <v>76</v>
      </c>
      <c r="N159" s="126">
        <v>0</v>
      </c>
      <c r="O159" s="6" t="s">
        <v>76</v>
      </c>
    </row>
    <row r="160" spans="1:15" s="25" customFormat="1" ht="13.5" hidden="1">
      <c r="A160" s="20" t="s">
        <v>146</v>
      </c>
      <c r="B160" s="9" t="s">
        <v>147</v>
      </c>
      <c r="C160" s="34" t="s">
        <v>76</v>
      </c>
      <c r="D160" s="34" t="s">
        <v>76</v>
      </c>
      <c r="E160" s="34" t="s">
        <v>76</v>
      </c>
      <c r="F160" s="34" t="s">
        <v>76</v>
      </c>
      <c r="G160" s="34" t="s">
        <v>76</v>
      </c>
      <c r="H160" s="126">
        <v>0</v>
      </c>
      <c r="I160" s="126">
        <v>0</v>
      </c>
      <c r="J160" s="126"/>
      <c r="K160" s="126"/>
      <c r="L160" s="135" t="s">
        <v>76</v>
      </c>
      <c r="M160" s="135" t="s">
        <v>76</v>
      </c>
      <c r="N160" s="126">
        <v>0</v>
      </c>
      <c r="O160" s="6" t="s">
        <v>76</v>
      </c>
    </row>
    <row r="161" spans="1:15" s="25" customFormat="1" ht="13.5">
      <c r="A161" s="48" t="s">
        <v>137</v>
      </c>
      <c r="B161" s="49" t="s">
        <v>138</v>
      </c>
      <c r="C161" s="50" t="s">
        <v>173</v>
      </c>
      <c r="D161" s="49" t="s">
        <v>81</v>
      </c>
      <c r="E161" s="50" t="s">
        <v>174</v>
      </c>
      <c r="F161" s="50" t="s">
        <v>174</v>
      </c>
      <c r="G161" s="50" t="s">
        <v>175</v>
      </c>
      <c r="H161" s="132">
        <v>28653.9</v>
      </c>
      <c r="I161" s="136"/>
      <c r="J161" s="136"/>
      <c r="K161" s="136"/>
      <c r="L161" s="137"/>
      <c r="M161" s="137"/>
      <c r="N161" s="136"/>
      <c r="O161" s="6"/>
    </row>
    <row r="162" spans="1:15" s="25" customFormat="1" ht="13.5">
      <c r="A162" s="51" t="s">
        <v>142</v>
      </c>
      <c r="B162" s="49" t="s">
        <v>143</v>
      </c>
      <c r="C162" s="50" t="s">
        <v>173</v>
      </c>
      <c r="D162" s="49" t="s">
        <v>81</v>
      </c>
      <c r="E162" s="50" t="s">
        <v>174</v>
      </c>
      <c r="F162" s="50" t="s">
        <v>174</v>
      </c>
      <c r="G162" s="50" t="s">
        <v>176</v>
      </c>
      <c r="H162" s="132">
        <v>28653.9</v>
      </c>
      <c r="I162" s="136"/>
      <c r="J162" s="136"/>
      <c r="K162" s="136"/>
      <c r="L162" s="137"/>
      <c r="M162" s="137"/>
      <c r="N162" s="136"/>
      <c r="O162" s="6"/>
    </row>
    <row r="163" spans="1:15" s="25" customFormat="1" ht="13.5">
      <c r="A163" s="35" t="s">
        <v>148</v>
      </c>
      <c r="B163" s="36" t="s">
        <v>149</v>
      </c>
      <c r="C163" s="37" t="s">
        <v>76</v>
      </c>
      <c r="D163" s="37" t="s">
        <v>76</v>
      </c>
      <c r="E163" s="37" t="s">
        <v>76</v>
      </c>
      <c r="F163" s="37" t="s">
        <v>76</v>
      </c>
      <c r="G163" s="37" t="s">
        <v>76</v>
      </c>
      <c r="H163" s="133">
        <f>I163+K163+N163</f>
        <v>0</v>
      </c>
      <c r="I163" s="133">
        <v>0</v>
      </c>
      <c r="J163" s="133"/>
      <c r="K163" s="133"/>
      <c r="L163" s="138" t="s">
        <v>76</v>
      </c>
      <c r="M163" s="138" t="s">
        <v>76</v>
      </c>
      <c r="N163" s="133"/>
      <c r="O163" s="6" t="s">
        <v>76</v>
      </c>
    </row>
    <row r="164" spans="1:15" s="25" customFormat="1" ht="13.5">
      <c r="A164" s="20" t="s">
        <v>150</v>
      </c>
      <c r="B164" s="9" t="s">
        <v>151</v>
      </c>
      <c r="C164" s="34" t="s">
        <v>76</v>
      </c>
      <c r="D164" s="34" t="s">
        <v>76</v>
      </c>
      <c r="E164" s="34" t="s">
        <v>76</v>
      </c>
      <c r="F164" s="34" t="s">
        <v>76</v>
      </c>
      <c r="G164" s="34" t="s">
        <v>76</v>
      </c>
      <c r="H164" s="126">
        <v>0</v>
      </c>
      <c r="I164" s="126">
        <v>0</v>
      </c>
      <c r="J164" s="126"/>
      <c r="K164" s="126"/>
      <c r="L164" s="135" t="s">
        <v>76</v>
      </c>
      <c r="M164" s="135" t="s">
        <v>76</v>
      </c>
      <c r="N164" s="126">
        <v>0</v>
      </c>
      <c r="O164" s="6" t="s">
        <v>76</v>
      </c>
    </row>
    <row r="166" ht="12.75">
      <c r="A166" s="88" t="s">
        <v>271</v>
      </c>
    </row>
    <row r="167" ht="12.75">
      <c r="A167" s="88"/>
    </row>
    <row r="168" ht="19.5" customHeight="1">
      <c r="A168" s="88" t="s">
        <v>17</v>
      </c>
    </row>
    <row r="169" ht="12.75">
      <c r="A169" s="88" t="s">
        <v>272</v>
      </c>
    </row>
    <row r="170" ht="12.75">
      <c r="A170" s="88"/>
    </row>
    <row r="171" ht="13.5" customHeight="1">
      <c r="A171" s="89"/>
    </row>
    <row r="172" ht="13.5" customHeight="1">
      <c r="A172" s="89"/>
    </row>
    <row r="173" ht="12.75" customHeight="1">
      <c r="A173" s="89"/>
    </row>
    <row r="174" ht="12.75" customHeight="1">
      <c r="A174" s="89"/>
    </row>
    <row r="175" ht="12.75" customHeight="1">
      <c r="A175" s="89"/>
    </row>
    <row r="176" ht="12.75" customHeight="1">
      <c r="A176" s="89"/>
    </row>
    <row r="177" ht="12.75" customHeight="1">
      <c r="A177" s="89"/>
    </row>
    <row r="178" ht="12.75" customHeight="1">
      <c r="A178" s="89"/>
    </row>
    <row r="179" ht="12.75" customHeight="1">
      <c r="A179" s="89"/>
    </row>
  </sheetData>
  <sheetProtection/>
  <mergeCells count="83">
    <mergeCell ref="A140:B140"/>
    <mergeCell ref="C117:C119"/>
    <mergeCell ref="E117:E119"/>
    <mergeCell ref="G124:G125"/>
    <mergeCell ref="A117:A119"/>
    <mergeCell ref="A126:B126"/>
    <mergeCell ref="A129:B129"/>
    <mergeCell ref="G117:G119"/>
    <mergeCell ref="A131:B131"/>
    <mergeCell ref="A115:B115"/>
    <mergeCell ref="C83:C84"/>
    <mergeCell ref="A76:A77"/>
    <mergeCell ref="C76:C77"/>
    <mergeCell ref="A104:B104"/>
    <mergeCell ref="A100:B100"/>
    <mergeCell ref="A83:A84"/>
    <mergeCell ref="A96:B96"/>
    <mergeCell ref="A109:B109"/>
    <mergeCell ref="G67:G68"/>
    <mergeCell ref="E71:E72"/>
    <mergeCell ref="A124:A125"/>
    <mergeCell ref="C124:C125"/>
    <mergeCell ref="E124:E125"/>
    <mergeCell ref="F124:F125"/>
    <mergeCell ref="F117:F119"/>
    <mergeCell ref="E83:E84"/>
    <mergeCell ref="F83:F84"/>
    <mergeCell ref="G83:G84"/>
    <mergeCell ref="A35:A38"/>
    <mergeCell ref="C35:C38"/>
    <mergeCell ref="A78:B78"/>
    <mergeCell ref="A81:A82"/>
    <mergeCell ref="C81:C82"/>
    <mergeCell ref="C39:C41"/>
    <mergeCell ref="C44:C45"/>
    <mergeCell ref="A67:A68"/>
    <mergeCell ref="C67:C68"/>
    <mergeCell ref="E76:E77"/>
    <mergeCell ref="F76:F77"/>
    <mergeCell ref="G76:G77"/>
    <mergeCell ref="E81:E82"/>
    <mergeCell ref="F81:F82"/>
    <mergeCell ref="G81:G82"/>
    <mergeCell ref="E67:E68"/>
    <mergeCell ref="F67:F68"/>
    <mergeCell ref="A54:B54"/>
    <mergeCell ref="A60:A65"/>
    <mergeCell ref="C60:C65"/>
    <mergeCell ref="F60:F65"/>
    <mergeCell ref="F44:F45"/>
    <mergeCell ref="B15:B22"/>
    <mergeCell ref="A18:A22"/>
    <mergeCell ref="C18:C22"/>
    <mergeCell ref="F18:F22"/>
    <mergeCell ref="A29:A34"/>
    <mergeCell ref="F30:F34"/>
    <mergeCell ref="A39:A41"/>
    <mergeCell ref="F39:F41"/>
    <mergeCell ref="A44:A45"/>
    <mergeCell ref="J15:J16"/>
    <mergeCell ref="A16:A17"/>
    <mergeCell ref="C16:C17"/>
    <mergeCell ref="E16:E17"/>
    <mergeCell ref="F16:F17"/>
    <mergeCell ref="G16:G17"/>
    <mergeCell ref="H4:O4"/>
    <mergeCell ref="H5:H6"/>
    <mergeCell ref="I5:O5"/>
    <mergeCell ref="N6:O6"/>
    <mergeCell ref="B10:B14"/>
    <mergeCell ref="C11:C13"/>
    <mergeCell ref="E11:E13"/>
    <mergeCell ref="F11:F13"/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цфбр</cp:lastModifiedBy>
  <cp:lastPrinted>2019-12-19T13:26:17Z</cp:lastPrinted>
  <dcterms:created xsi:type="dcterms:W3CDTF">2012-12-29T08:09:26Z</dcterms:created>
  <dcterms:modified xsi:type="dcterms:W3CDTF">2019-12-24T12:49:29Z</dcterms:modified>
  <cp:category/>
  <cp:version/>
  <cp:contentType/>
  <cp:contentStatus/>
</cp:coreProperties>
</file>